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OURENSE\"/>
    </mc:Choice>
  </mc:AlternateContent>
  <workbookProtection workbookAlgorithmName="SHA-512" workbookHashValue="sQ6J7M5DF3vp8E4eW2O9cwYSQfyVbvt/tfvEQtKJ7ir7A1RGLqtSCmYlx6Y/uJte0ovIMi+bPaHUrPy1RDK54Q==" workbookSaltValue="8c7F2J5fYWJ6dS23QjOs4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A26" i="2"/>
  <c r="A27" i="2"/>
  <c r="A28" i="2"/>
  <c r="C28" i="2"/>
  <c r="D28" i="2" s="1"/>
  <c r="E28" i="2"/>
  <c r="F28" i="2" s="1"/>
  <c r="G28" i="2"/>
  <c r="H28" i="2" s="1"/>
  <c r="I28" i="2"/>
  <c r="A29" i="2"/>
  <c r="B29" i="2"/>
  <c r="C29" i="2"/>
  <c r="E29" i="2"/>
  <c r="G29" i="2"/>
  <c r="I29" i="2"/>
  <c r="J29" i="2" s="1"/>
  <c r="A30" i="2"/>
  <c r="A31" i="2"/>
  <c r="A32" i="2"/>
  <c r="A33" i="2"/>
  <c r="A35" i="2"/>
  <c r="O37" i="11"/>
  <c r="O38" i="11"/>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U12" i="11"/>
  <c r="AU32" i="20"/>
  <c r="G14" i="14"/>
  <c r="W32" i="20"/>
  <c r="AJ32" i="20"/>
  <c r="G30" i="14"/>
  <c r="G23" i="14"/>
  <c r="U18" i="11"/>
  <c r="AX32" i="20"/>
  <c r="Y32" i="20"/>
  <c r="L32" i="20"/>
  <c r="AG32" i="20"/>
  <c r="H32" i="20"/>
  <c r="T32" i="21"/>
  <c r="F32" i="20"/>
  <c r="AF32" i="20"/>
  <c r="G26" i="14"/>
  <c r="S32" i="20"/>
  <c r="K32" i="20"/>
  <c r="AQ32" i="21"/>
  <c r="O17" i="11"/>
  <c r="AE32" i="20"/>
  <c r="AZ32" i="20"/>
  <c r="O18" i="11"/>
  <c r="R32" i="20"/>
  <c r="BF17" i="8" l="1"/>
  <c r="F14" i="7"/>
  <c r="T31" i="8"/>
  <c r="J25" i="2"/>
  <c r="F25" i="2"/>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K9" i="12"/>
  <c r="BL9" i="11"/>
  <c r="BH21" i="16"/>
  <c r="BF11" i="11"/>
  <c r="X12" i="21"/>
  <c r="R28" i="14"/>
  <c r="R18" i="14"/>
  <c r="S28" i="14"/>
  <c r="V28" i="14" s="1"/>
  <c r="S21" i="14"/>
  <c r="V21" i="14" s="1"/>
  <c r="AP17" i="20"/>
  <c r="BL19" i="11"/>
  <c r="BJ22" i="11"/>
  <c r="BJ18" i="11"/>
  <c r="BG10" i="11"/>
  <c r="BM17" i="11"/>
  <c r="V11" i="16"/>
  <c r="BF21" i="11"/>
  <c r="V25" i="1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2" i="16"/>
  <c r="U9" i="17"/>
  <c r="U31" i="17" s="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S10" i="17"/>
  <c r="BI29" i="11"/>
  <c r="BG17" i="11"/>
  <c r="BM21" i="11"/>
  <c r="AO25" i="17"/>
  <c r="BH25" i="11"/>
  <c r="BK10" i="11"/>
  <c r="BI21" i="11"/>
  <c r="L10" i="2"/>
  <c r="L28" i="2"/>
  <c r="X21" i="20"/>
  <c r="L16" i="2"/>
  <c r="L17" i="2"/>
  <c r="L18" i="2"/>
  <c r="X16" i="16"/>
  <c r="X23" i="16" s="1"/>
  <c r="AA11" i="16"/>
  <c r="L9" i="2"/>
  <c r="V25" i="16"/>
  <c r="BH11" i="11"/>
  <c r="S18" i="17"/>
  <c r="BM9" i="11"/>
  <c r="BJ17" i="11"/>
  <c r="BK22" i="11"/>
  <c r="BL17" i="11"/>
  <c r="BH22" i="11"/>
  <c r="X12" i="17"/>
  <c r="L22" i="2"/>
  <c r="X22" i="16"/>
  <c r="S16" i="17"/>
  <c r="S17" i="17"/>
  <c r="L12" i="2"/>
  <c r="X19" i="16"/>
  <c r="X10" i="21"/>
  <c r="L20" i="2"/>
  <c r="V10" i="16"/>
  <c r="V9" i="16"/>
  <c r="X13" i="16"/>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AZ31" i="11" l="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<sst xmlns="http://schemas.openxmlformats.org/spreadsheetml/2006/main" count="2682" uniqueCount="1193">
  <si>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</si>
  <si>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</si>
  <si>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</si>
  <si>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</si>
  <si>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</si>
  <si>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</si>
  <si>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</si>
  <si>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</si>
  <si>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</si>
  <si>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</si>
  <si>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</si>
  <si>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</si>
  <si>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</si>
  <si>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</si>
  <si>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</si>
  <si>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</si>
  <si>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</si>
  <si>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</si>
  <si>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</si>
  <si>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</si>
  <si>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</si>
  <si>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</si>
  <si>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</si>
  <si>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</si>
  <si>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</si>
  <si>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</si>
  <si>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</si>
  <si>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</si>
  <si>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</si>
  <si>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</si>
  <si>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</si>
  <si>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</si>
  <si>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</si>
  <si>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</si>
  <si>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</si>
  <si>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</si>
  <si>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</si>
  <si>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</si>
  <si>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</si>
  <si>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</si>
  <si>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</si>
  <si>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</si>
  <si>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</si>
  <si>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</si>
  <si>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</si>
  <si>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</si>
  <si>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</si>
  <si>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</si>
  <si>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</si>
  <si>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</si>
  <si>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</si>
  <si>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</si>
  <si>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</si>
  <si>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</si>
  <si>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</si>
  <si>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</si>
  <si>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</si>
  <si>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</si>
  <si>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</si>
  <si>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</si>
  <si>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</si>
  <si>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</si>
  <si>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</si>
  <si>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</si>
  <si>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</si>
  <si>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</si>
  <si>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</si>
  <si>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</si>
  <si>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</si>
  <si>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</si>
  <si>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</si>
  <si>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</si>
  <si>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</si>
  <si>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</si>
  <si>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</si>
  <si>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</si>
  <si>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</si>
  <si>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</si>
  <si>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</si>
  <si>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</si>
  <si>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</si>
  <si>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</si>
  <si>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</si>
  <si>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</si>
  <si>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</si>
  <si>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</si>
  <si>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</si>
  <si>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</si>
  <si>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</si>
  <si>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</si>
  <si>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</si>
  <si>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</si>
  <si>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</si>
  <si>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</si>
  <si>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</si>
  <si>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</si>
  <si>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</si>
  <si>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</si>
  <si>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</si>
  <si>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</si>
  <si>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</si>
  <si>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</si>
  <si>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</si>
  <si>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</si>
  <si>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</si>
  <si>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</si>
  <si>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</si>
  <si>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</si>
  <si>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</si>
  <si>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</si>
  <si>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</si>
  <si>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</si>
  <si>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</si>
  <si>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</si>
  <si>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</si>
  <si>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</si>
  <si>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</si>
  <si>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</si>
  <si>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</si>
  <si>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</si>
  <si>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</si>
  <si>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</si>
  <si>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</si>
  <si>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</si>
  <si>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</si>
  <si>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</si>
  <si>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</si>
  <si>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</si>
  <si>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</si>
  <si>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</si>
  <si>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</si>
  <si>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</si>
  <si>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</si>
  <si>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</si>
  <si>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</si>
  <si>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</si>
  <si>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</si>
  <si>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</si>
  <si>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</si>
  <si>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</si>
  <si>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</si>
  <si>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</si>
  <si>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</si>
  <si>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</si>
  <si>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</si>
  <si>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</si>
  <si>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</si>
  <si>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</si>
  <si>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</si>
  <si>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</si>
  <si>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</si>
  <si>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</si>
  <si>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</si>
  <si>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</si>
  <si>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</si>
  <si>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</si>
  <si>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</si>
  <si>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</si>
  <si>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</si>
  <si>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</si>
  <si>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</si>
  <si>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</si>
  <si>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</si>
  <si>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</si>
  <si>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</si>
  <si>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</si>
  <si>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</si>
  <si>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</si>
  <si>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</si>
  <si>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</si>
  <si>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</si>
  <si>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</si>
  <si>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</si>
  <si>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</si>
  <si>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</si>
  <si>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</si>
  <si>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</si>
  <si>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</si>
  <si>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</si>
  <si>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</si>
  <si>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</si>
  <si>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</si>
  <si>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</si>
  <si>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</si>
  <si>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</si>
  <si>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</si>
  <si>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</si>
  <si>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</si>
  <si>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</si>
  <si>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</si>
  <si>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</si>
  <si>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</si>
  <si>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</si>
  <si>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</si>
  <si>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</si>
  <si>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</si>
  <si>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</si>
  <si>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</si>
  <si>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</si>
  <si>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</si>
  <si>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</si>
  <si>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</si>
  <si>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</si>
  <si>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</si>
  <si>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</si>
  <si>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</si>
  <si>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</si>
  <si>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</si>
  <si>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</si>
  <si>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</si>
  <si>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</si>
  <si>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</si>
  <si>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</si>
  <si>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</si>
  <si>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</si>
  <si>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</si>
  <si>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</si>
  <si>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</si>
  <si>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</si>
  <si>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</si>
  <si>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</si>
  <si>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</si>
  <si>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</si>
  <si>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</si>
  <si>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</si>
  <si>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</si>
  <si>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</si>
  <si>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</si>
  <si>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</si>
  <si>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</si>
  <si>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</si>
  <si>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</si>
  <si>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</si>
  <si>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</si>
  <si>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</si>
  <si>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</si>
  <si>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</si>
  <si>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</si>
  <si>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</si>
  <si>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</si>
  <si>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</si>
  <si>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</si>
  <si>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</si>
  <si>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</si>
  <si>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</si>
  <si>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</si>
  <si>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</si>
  <si>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</si>
  <si>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</si>
  <si>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</si>
  <si>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</si>
  <si>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</si>
  <si>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</si>
  <si>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</si>
  <si>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</si>
  <si>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</si>
  <si>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</si>
  <si>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</si>
  <si>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</si>
  <si>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</si>
  <si>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</si>
  <si>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</si>
  <si>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</si>
  <si>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</si>
  <si>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</si>
  <si>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</si>
  <si>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</si>
  <si>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</si>
  <si>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</si>
  <si>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</si>
  <si>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</si>
  <si>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</si>
  <si>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</si>
  <si>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</si>
  <si>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</si>
  <si>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</si>
  <si>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</si>
  <si>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</si>
  <si>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</si>
  <si>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</si>
  <si>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</si>
  <si>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</si>
  <si>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</si>
  <si>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</si>
  <si>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</si>
  <si>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</si>
  <si>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</si>
  <si>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</si>
  <si>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</si>
  <si>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</si>
  <si>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</si>
  <si>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</si>
  <si>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</si>
  <si>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</si>
  <si>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</si>
  <si>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</si>
  <si>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</si>
  <si>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</si>
  <si>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</si>
  <si>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</si>
  <si>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</si>
  <si>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</si>
  <si>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</si>
  <si>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</si>
  <si>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</si>
  <si>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</si>
  <si>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</si>
  <si>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</si>
  <si>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</si>
  <si>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</si>
  <si>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</si>
  <si>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</si>
  <si>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</si>
  <si>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</si>
  <si>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</si>
  <si>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</si>
  <si>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</si>
  <si>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</si>
  <si>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</si>
  <si>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</si>
  <si>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</si>
  <si>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</si>
  <si>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</si>
  <si>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</si>
  <si>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</si>
  <si>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</si>
  <si>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</si>
  <si>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</si>
  <si>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</si>
  <si>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</si>
  <si>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</si>
  <si>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</si>
  <si>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</si>
  <si>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</si>
  <si>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</si>
  <si>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</si>
  <si>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</si>
  <si>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</si>
  <si>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</si>
  <si>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</si>
  <si>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</si>
  <si>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</si>
  <si>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</si>
  <si>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</si>
  <si>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</si>
  <si>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</si>
  <si>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</si>
  <si>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</si>
  <si>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</si>
  <si>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</si>
  <si>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</si>
  <si>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</si>
  <si>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</si>
  <si>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</si>
  <si>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</si>
  <si>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</si>
  <si>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</si>
  <si>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</si>
  <si>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</si>
  <si>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</si>
  <si>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</si>
  <si>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</si>
  <si>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</si>
  <si>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</si>
  <si>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</si>
  <si>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</si>
  <si>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</si>
  <si>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</si>
  <si>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</si>
  <si>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</si>
  <si>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</si>
  <si>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</si>
  <si>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</si>
  <si>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</si>
  <si>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</si>
  <si>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</si>
  <si>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</si>
  <si>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</si>
  <si>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</si>
  <si>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</si>
  <si>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</si>
  <si>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</si>
  <si>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</si>
  <si>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</si>
  <si>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</si>
  <si>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</si>
  <si>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</si>
  <si>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</si>
  <si>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</si>
  <si>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</si>
  <si>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</si>
  <si>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</si>
  <si>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</si>
  <si>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</si>
  <si>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</si>
  <si>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</si>
  <si>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</si>
  <si>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</si>
  <si>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</si>
  <si>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</si>
  <si>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</si>
  <si>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</si>
  <si>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</si>
  <si>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</si>
  <si>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</si>
  <si>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</si>
  <si>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</si>
  <si>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</si>
  <si>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</si>
  <si>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</si>
  <si>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</si>
  <si>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</si>
  <si>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</si>
  <si>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</si>
  <si>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</si>
  <si>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</si>
  <si>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</si>
  <si>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</si>
  <si>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</si>
  <si>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</si>
  <si>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</si>
  <si>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</si>
  <si>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</si>
  <si>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</si>
  <si>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</si>
  <si>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</si>
  <si>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</si>
  <si>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</si>
  <si>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</si>
  <si>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</si>
  <si>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</si>
  <si>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</si>
  <si>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</si>
  <si>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</si>
  <si>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</si>
  <si>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</si>
  <si>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</si>
  <si>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</si>
  <si>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</si>
  <si>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</si>
  <si>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</si>
  <si>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</si>
  <si>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</si>
  <si>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</si>
  <si>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</si>
  <si>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</si>
  <si>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</si>
  <si>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</si>
  <si>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</si>
  <si>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</si>
  <si>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</si>
  <si>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</si>
  <si>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</si>
  <si>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</si>
  <si>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</si>
  <si>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</si>
  <si>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</si>
  <si>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</si>
  <si>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</si>
  <si>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</si>
  <si>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</si>
  <si>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</si>
  <si>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</si>
  <si>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</si>
  <si>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</si>
  <si>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</si>
  <si>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</si>
  <si>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</si>
  <si>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</si>
  <si>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</si>
  <si>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</si>
  <si>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</si>
  <si>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</si>
  <si>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</si>
  <si>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</si>
  <si>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</si>
  <si>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</si>
  <si>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</si>
  <si>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</si>
  <si>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</si>
  <si>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</si>
  <si>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</si>
  <si>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</si>
  <si>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</si>
  <si>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</si>
  <si>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</si>
  <si>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</si>
  <si>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</si>
  <si>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</si>
  <si>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</si>
  <si>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</si>
  <si>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</si>
  <si>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</si>
  <si>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</si>
  <si>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</si>
  <si>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</si>
  <si>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</si>
  <si>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</si>
  <si>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</si>
  <si>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</si>
  <si>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</si>
  <si>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</si>
  <si>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</si>
  <si>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</si>
  <si>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</si>
  <si>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</si>
  <si>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</si>
  <si>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</si>
  <si>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</si>
  <si>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</si>
  <si>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</si>
  <si>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</si>
  <si>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</si>
  <si>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</si>
  <si>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</si>
  <si>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</si>
  <si>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</si>
  <si>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</si>
  <si>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</si>
  <si>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</si>
  <si>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</si>
  <si>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</si>
  <si>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</si>
  <si>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</si>
  <si>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</si>
  <si>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</si>
  <si>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</si>
  <si>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</si>
  <si>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</si>
  <si>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</si>
  <si>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</si>
  <si>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</si>
  <si>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</si>
  <si>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</si>
  <si>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</si>
  <si>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</si>
  <si>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</si>
  <si>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</si>
  <si>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</si>
  <si>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</si>
  <si>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</si>
  <si>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</si>
  <si>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</si>
  <si>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</si>
  <si>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</si>
  <si>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</si>
  <si>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</si>
  <si>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</si>
  <si>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</si>
  <si>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</si>
  <si>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</si>
  <si>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</si>
  <si>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</si>
  <si>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</si>
  <si>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</si>
  <si>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</si>
  <si>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</si>
  <si>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</si>
  <si>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</si>
  <si>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</si>
  <si>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</si>
  <si>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</si>
  <si>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</si>
  <si>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</si>
  <si>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</si>
  <si>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</si>
  <si>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</si>
  <si>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</si>
  <si>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</si>
  <si>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</si>
  <si>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</si>
  <si>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</si>
  <si>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</si>
  <si>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</si>
  <si>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</si>
  <si>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</si>
  <si>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</si>
  <si>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</si>
  <si>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</si>
  <si>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</si>
  <si>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</si>
  <si>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</si>
  <si>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</si>
  <si>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</si>
  <si>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</si>
  <si>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</si>
  <si>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</si>
  <si>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</si>
  <si>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</si>
  <si>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</si>
  <si>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</si>
  <si>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</si>
  <si>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</si>
  <si>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</si>
  <si>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</si>
  <si>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</si>
  <si>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</si>
  <si>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</si>
  <si>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</si>
  <si>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</si>
  <si>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</si>
  <si>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</si>
  <si>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</si>
  <si>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</si>
  <si>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</si>
  <si>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</si>
  <si>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</si>
  <si>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</si>
  <si>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</si>
  <si>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</si>
  <si>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</si>
  <si>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</si>
  <si>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</si>
  <si>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</si>
  <si>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</si>
  <si>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</si>
  <si>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</si>
  <si>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</si>
  <si>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</si>
  <si>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</si>
  <si>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</si>
  <si>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</si>
  <si>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</si>
  <si>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</si>
  <si>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</si>
  <si>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</si>
  <si>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</si>
  <si>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</si>
  <si>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</si>
  <si>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</si>
  <si>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</si>
  <si>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</si>
  <si>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</si>
  <si>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</si>
  <si>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</si>
  <si>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</si>
  <si>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</si>
  <si>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</si>
  <si>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</si>
  <si>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</si>
  <si>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</si>
  <si>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</si>
  <si>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</si>
  <si>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</si>
  <si>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</si>
  <si>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</si>
  <si>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</si>
  <si>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</si>
  <si>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</si>
  <si>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</si>
  <si>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</si>
  <si>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</si>
  <si>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</si>
  <si>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</si>
  <si>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</si>
  <si>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</si>
  <si>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</si>
  <si>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</si>
  <si>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</si>
  <si>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</si>
  <si>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</si>
  <si>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</si>
  <si>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</si>
  <si>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</si>
  <si>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</si>
  <si>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</si>
  <si>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</si>
  <si>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</si>
  <si>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</si>
  <si>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</si>
  <si>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</si>
  <si>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</si>
  <si>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</si>
  <si>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</si>
  <si>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</si>
  <si>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</si>
  <si>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</si>
  <si>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</si>
  <si>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</si>
  <si>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</si>
  <si>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</si>
  <si>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</si>
  <si>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</si>
  <si>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</si>
  <si>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</si>
  <si>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</si>
  <si>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</si>
  <si>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</si>
  <si>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</si>
  <si>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</si>
  <si>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</si>
  <si>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</si>
  <si>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</si>
  <si>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</si>
  <si>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</si>
  <si>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</si>
  <si>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</si>
  <si>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</si>
  <si>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</si>
  <si>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</si>
  <si>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</si>
  <si>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</si>
  <si>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</si>
  <si>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</si>
  <si>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</si>
  <si>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</si>
  <si>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</si>
  <si>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</si>
  <si>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</si>
  <si>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</si>
  <si>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</si>
  <si>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</si>
  <si>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</si>
  <si>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</si>
  <si>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</si>
  <si>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</si>
  <si>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</si>
  <si>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</si>
  <si>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</si>
  <si>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</si>
  <si>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</si>
  <si>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</si>
  <si>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</si>
  <si>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</si>
  <si>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</si>
  <si>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</si>
  <si>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</si>
  <si>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</si>
  <si>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</si>
  <si>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</si>
  <si>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</si>
  <si>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</si>
  <si>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</si>
  <si>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</si>
  <si>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</si>
  <si>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</si>
  <si>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</si>
  <si>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</si>
  <si>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</si>
  <si>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</si>
  <si>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</si>
  <si>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</si>
  <si>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</si>
  <si>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</si>
  <si>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</si>
  <si>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</si>
  <si>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</si>
  <si>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</si>
  <si>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</si>
  <si>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</si>
  <si>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</si>
  <si>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</si>
  <si>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</si>
  <si>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</si>
  <si>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</si>
  <si>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</si>
  <si>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</si>
  <si>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</si>
  <si>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</si>
  <si>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</si>
  <si>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</si>
  <si>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</si>
  <si>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</si>
  <si>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</si>
  <si>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</si>
  <si>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</si>
  <si>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</si>
  <si>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</si>
  <si>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</si>
  <si>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</si>
  <si>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</si>
  <si>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</si>
  <si>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</si>
  <si>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</si>
  <si>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</si>
  <si>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</si>
  <si>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</si>
  <si>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</si>
  <si>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</si>
  <si>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</si>
  <si>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</si>
  <si>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</si>
  <si>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</si>
  <si>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</si>
  <si>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</si>
  <si>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</si>
  <si>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</si>
  <si>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</si>
  <si>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</si>
  <si>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</si>
  <si>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</si>
  <si>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</si>
  <si>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</si>
  <si>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</si>
  <si>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</si>
  <si>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</si>
  <si>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</si>
  <si>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</si>
  <si>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</si>
  <si>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</si>
  <si>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</si>
  <si>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</si>
  <si>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</si>
  <si>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</si>
  <si>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</si>
  <si>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</si>
  <si>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</si>
  <si>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</si>
  <si>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</si>
  <si>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</si>
  <si>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</si>
  <si>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</si>
  <si>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</si>
  <si>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</si>
  <si>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</si>
  <si>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</si>
  <si>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</si>
  <si>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</si>
  <si>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</si>
  <si>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</si>
  <si>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</si>
  <si>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</si>
  <si>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</si>
  <si>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</si>
  <si>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</si>
  <si>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</si>
  <si>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</si>
  <si>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</si>
  <si>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</si>
  <si>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</si>
  <si>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</si>
  <si>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</si>
  <si>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</si>
  <si>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</si>
  <si>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</si>
  <si>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</si>
  <si>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</si>
  <si>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</si>
  <si>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</si>
  <si>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</si>
  <si>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</si>
  <si>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</si>
  <si>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</si>
  <si>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</si>
  <si>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</si>
  <si>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</si>
  <si>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</si>
  <si>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</si>
  <si>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</si>
  <si>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</si>
  <si>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</si>
  <si>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</si>
  <si>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</si>
  <si>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</si>
  <si>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</si>
  <si>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</si>
  <si>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</si>
  <si>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</si>
  <si>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</si>
  <si>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</si>
  <si>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</si>
  <si>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</si>
  <si>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</si>
  <si>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</si>
  <si>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</si>
  <si>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</si>
  <si>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</si>
  <si>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</si>
  <si>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</si>
  <si>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</si>
  <si>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</si>
  <si>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</si>
  <si>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</si>
  <si>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</si>
  <si>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</si>
  <si>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</si>
  <si>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</si>
  <si>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</si>
  <si>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</si>
  <si>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</si>
  <si>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</si>
  <si>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</si>
  <si>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</si>
  <si>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</si>
  <si>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</si>
  <si>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</si>
  <si>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</si>
  <si>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</si>
  <si>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</si>
  <si>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</si>
  <si>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</si>
  <si>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</si>
  <si>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</si>
  <si>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</si>
  <si>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</si>
  <si>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</si>
  <si>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</si>
  <si>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</si>
  <si>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</si>
  <si>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</si>
  <si>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</si>
  <si>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</si>
  <si>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</si>
  <si>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</si>
  <si>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</si>
  <si>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</si>
  <si>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</si>
  <si>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</si>
  <si>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</si>
  <si>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</si>
  <si>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</si>
  <si>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</si>
  <si>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</si>
  <si>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</si>
  <si>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</si>
  <si>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</si>
  <si>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</si>
  <si>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</si>
  <si>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</si>
  <si>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</si>
  <si>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</si>
  <si>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</si>
  <si>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</si>
  <si>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</si>
  <si>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</si>
  <si>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</si>
  <si>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</si>
  <si>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</si>
  <si>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</si>
  <si>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</si>
  <si>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</si>
  <si>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</si>
  <si>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</si>
  <si>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</si>
  <si>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</si>
  <si>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</si>
  <si>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</si>
  <si>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</si>
  <si>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</si>
  <si>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</si>
  <si>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</si>
  <si>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</si>
  <si>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</si>
  <si>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</si>
  <si>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</si>
  <si>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</si>
  <si>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</si>
  <si>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</si>
  <si>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</si>
  <si>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</si>
  <si>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</si>
  <si>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</si>
  <si>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</si>
  <si>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</si>
  <si>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</si>
  <si>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</si>
  <si>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</si>
  <si>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</si>
  <si>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</si>
  <si>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</si>
  <si>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</si>
  <si>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</si>
  <si>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</si>
  <si>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</si>
  <si>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</si>
  <si>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</si>
  <si>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</si>
  <si>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</si>
  <si>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</si>
  <si>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</si>
  <si>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</si>
  <si>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</si>
  <si>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</si>
  <si>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</si>
  <si>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</si>
  <si>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</si>
  <si>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</si>
  <si>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</si>
  <si>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</si>
  <si>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</si>
  <si>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</si>
  <si>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</si>
  <si>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</si>
  <si>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</si>
  <si>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</si>
  <si>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</si>
  <si>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</si>
  <si>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</si>
  <si>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</si>
  <si>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</si>
  <si>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</si>
  <si>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</si>
  <si>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</si>
  <si>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</si>
  <si>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</si>
  <si>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</si>
  <si>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</si>
  <si>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</si>
  <si>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</si>
  <si>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</si>
  <si>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</si>
  <si>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</si>
  <si>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</si>
  <si>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</si>
  <si>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</si>
  <si>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</si>
  <si>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</si>
  <si>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</si>
  <si>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</si>
  <si>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</si>
  <si>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</si>
  <si>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</si>
  <si>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</si>
  <si>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</si>
  <si>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</si>
  <si>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</si>
  <si>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</si>
  <si>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</si>
  <si>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</si>
  <si>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</si>
  <si>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</si>
  <si>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</si>
  <si>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</si>
  <si>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</si>
  <si>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</si>
  <si>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</si>
  <si>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</si>
  <si>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</si>
  <si>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</si>
  <si>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</si>
  <si>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</si>
  <si>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</si>
  <si>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</si>
  <si>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</si>
  <si>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</si>
  <si>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</si>
  <si>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</si>
  <si>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</si>
  <si>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</si>
  <si>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</si>
  <si>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</si>
  <si>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</si>
  <si>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</si>
  <si>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</si>
  <si>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</si>
  <si>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</si>
  <si>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</si>
  <si>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</si>
  <si>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</si>
  <si>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</si>
  <si>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</si>
  <si>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</si>
  <si>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</si>
  <si>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</si>
  <si>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</si>
  <si>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</si>
  <si>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</si>
  <si>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</si>
  <si>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</si>
  <si>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</si>
  <si>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</si>
  <si>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</si>
  <si>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</si>
  <si>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</si>
  <si>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</si>
  <si>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</si>
  <si>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</si>
  <si>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</si>
  <si>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</si>
  <si>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</si>
  <si>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</si>
  <si>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</si>
  <si>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</si>
  <si>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</si>
  <si>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</si>
  <si>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</si>
  <si>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</si>
  <si>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</si>
  <si>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</si>
  <si>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</si>
  <si>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</si>
  <si>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</si>
  <si>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</si>
  <si>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</si>
  <si>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</si>
  <si>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</si>
  <si>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</si>
  <si>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</si>
  <si>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</si>
  <si>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</si>
  <si>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</si>
  <si>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</si>
  <si>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</si>
  <si>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</si>
  <si>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</si>
  <si>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</si>
  <si>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</si>
  <si>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</si>
  <si>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</si>
  <si>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</si>
  <si>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</si>
  <si>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</si>
  <si>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</si>
  <si>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</si>
  <si>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</si>
  <si>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</si>
  <si>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</si>
  <si>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</si>
  <si>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</si>
  <si>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</si>
  <si>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</si>
  <si>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</si>
  <si>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</si>
  <si>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</si>
  <si>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</si>
  <si>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</si>
  <si>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</si>
  <si>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</si>
  <si>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</si>
  <si>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</si>
  <si>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</si>
  <si>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</si>
  <si>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</si>
  <si>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</si>
  <si>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</si>
  <si>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</si>
  <si>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</si>
  <si>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</si>
  <si>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</si>
  <si>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</si>
  <si>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</si>
  <si>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</si>
  <si>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</si>
  <si>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</si>
  <si>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</si>
  <si>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</si>
  <si>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</si>
  <si>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</si>
  <si>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</si>
  <si>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</si>
  <si>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</si>
  <si>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</si>
  <si>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</si>
  <si>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</si>
  <si>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</si>
  <si>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</si>
  <si>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</si>
  <si>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</si>
  <si>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</si>
  <si>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</si>
  <si>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</si>
  <si>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</si>
  <si>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</si>
  <si>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</si>
  <si>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</si>
  <si>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</si>
  <si>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</si>
  <si>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</si>
  <si>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</si>
  <si>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</si>
  <si>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</si>
  <si>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</si>
  <si>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</si>
  <si>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</si>
  <si>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</si>
  <si>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</si>
  <si>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</si>
  <si>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</si>
  <si>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</si>
  <si>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</si>
  <si>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</si>
  <si>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</si>
  <si>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</si>
  <si>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</si>
  <si>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</si>
  <si>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</si>
  <si>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</si>
  <si>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</si>
  <si>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</si>
  <si>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</si>
  <si>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</si>
  <si>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</si>
  <si>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</si>
  <si>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</si>
  <si>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</si>
  <si>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</si>
  <si>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</si>
  <si>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</si>
  <si>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</si>
  <si>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</si>
  <si>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OURENSE</t>
  </si>
  <si>
    <t>Resumenes por Partidos Judiciales</t>
  </si>
  <si>
    <t>O BARCO DE VALDEORRAS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</si>
</sst>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PCWhoESKkd7UInIVo6f6n/KsABlS34r7E0yg1YBmoteGG6RSqVKnlogNcO35dRwJQHEx+WKVVKhbDLW6UbHwzA==" saltValue="Jerj0rtrghaC1gIVzW50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0</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0.1111111111111111</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32.010582010582013</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189</v>
      </c>
      <c r="D17" s="239">
        <f>IF(ISNUMBER(IF(D_I="SI",Datos!I17,Datos!I17+Datos!AC17)),IF(D_I="SI",Datos!I17,Datos!I17+Datos!AC17)," - ")</f>
        <v>189</v>
      </c>
      <c r="E17" s="240">
        <f>IF(ISNUMBER(IF(D_I="SI",Datos!J17,Datos!J17+Datos!AD17)),IF(D_I="SI",Datos!J17,Datos!J17+Datos!AD17)," - ")</f>
        <v>173</v>
      </c>
      <c r="F17" s="240">
        <f>IF(ISNUMBER(IF(D_I="SI",Datos!K17,Datos!K17+Datos!AE17)),IF(D_I="SI",Datos!K17,Datos!K17+Datos!AE17)," - ")</f>
        <v>179</v>
      </c>
      <c r="G17" s="1390" t="str">
        <f>IF(Datos!E17&lt;&gt;"",Datos!E17,Datos!D17)</f>
        <v>04</v>
      </c>
      <c r="H17" s="241">
        <f>IF(ISNUMBER(IF(D_I="SI",Datos!L17,Datos!L17+Datos!AF17)),IF(D_I="SI",Datos!L17,Datos!L17+Datos!AF17)," - ")</f>
        <v>183</v>
      </c>
      <c r="I17" s="1400" t="str">
        <f>IF(ISNUMBER(Datos!AS17/Datos!BM17),Datos!AS17/Datos!BM17," - ")</f>
        <v xml:space="preserve"> - </v>
      </c>
      <c r="J17" s="1401">
        <f>IF(ISNUMBER(Datos!BY17/Datos!CN17),Datos!BY17/Datos!CN17," - ")</f>
        <v>0</v>
      </c>
      <c r="K17" s="244">
        <f t="shared" si="3"/>
        <v>-3.1746031746031744E-2</v>
      </c>
      <c r="L17" s="1402">
        <f>IF(ISNUMBER(NºAsuntos!I17/NºAsuntos!G17),(NºAsuntos!I17/NºAsuntos!G17)*11," - ")</f>
        <v>11.245810055865922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8</v>
      </c>
      <c r="D18" s="239">
        <f>IF(ISNUMBER(IF(D_I="SI",Datos!I18,Datos!I18+Datos!AC18)),IF(D_I="SI",Datos!I18,Datos!I18+Datos!AC18)," - ")</f>
        <v>8</v>
      </c>
      <c r="E18" s="240">
        <f>IF(ISNUMBER(IF(D_I="SI",Datos!J18,Datos!J18+Datos!AD18)),IF(D_I="SI",Datos!J18,Datos!J18+Datos!AD18)," - ")</f>
        <v>12</v>
      </c>
      <c r="F18" s="240">
        <f>IF(ISNUMBER(IF(D_I="SI",Datos!K18,Datos!K18+Datos!AE18)),IF(D_I="SI",Datos!K18,Datos!K18+Datos!AE18)," - ")</f>
        <v>14</v>
      </c>
      <c r="G18" s="1390" t="str">
        <f>IF(Datos!E18&lt;&gt;"",Datos!E18,Datos!D18)</f>
        <v>37</v>
      </c>
      <c r="H18" s="241">
        <f>IF(ISNUMBER(IF(D_I="SI",Datos!L18,Datos!L18+Datos!AF18)),IF(D_I="SI",Datos!L18,Datos!L18+Datos!AF18)," - ")</f>
        <v>6</v>
      </c>
      <c r="I18" s="1400" t="str">
        <f>IF(ISNUMBER(Datos!AS18/Datos!BM18),Datos!AS18/Datos!BM18," - ")</f>
        <v xml:space="preserve"> - </v>
      </c>
      <c r="J18" s="1401" t="str">
        <f>IF(ISNUMBER((Datos!BY18+Datos!BZ18)/Datos!CN18),(Datos!BY18+Datos!BZ18)/Datos!CN18," - ")</f>
        <v xml:space="preserve"> - </v>
      </c>
      <c r="K18" s="244">
        <f t="shared" si="3"/>
        <v>-0.25</v>
      </c>
      <c r="L18" s="1402">
        <f>IF(ISNUMBER(NºAsuntos!I18/NºAsuntos!G18),(NºAsuntos!I18/NºAsuntos!G18)*11," - ")</f>
        <v>4.7142857142857144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197</v>
      </c>
      <c r="D23" s="1407">
        <f>SUBTOTAL(9,D16:D22)</f>
        <v>197</v>
      </c>
      <c r="E23" s="1408">
        <f>SUBTOTAL(9,E16:E22)</f>
        <v>185</v>
      </c>
      <c r="F23" s="1408">
        <f>SUBTOTAL(9,F16:F22)</f>
        <v>193</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206</v>
      </c>
      <c r="D31" s="1435">
        <f>SUBTOTAL(9,D9:D30)</f>
        <v>206</v>
      </c>
      <c r="E31" s="1436">
        <f>SUBTOTAL(9,E9:E30)</f>
        <v>186</v>
      </c>
      <c r="F31" s="1436">
        <f>SUBTOTAL(9,F9:F30)</f>
        <v>193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hJJf71karQvW7tR0sRfAkEk8HZYP8AoUMg029mp5SjV9xKAt1w7ES5r8gDOJSM0OCB0QikXoGGBQQylNcQV9+w==" saltValue="UlOoSuxWRkYeYrS1TBidb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KJyjIhptLEKDBJYU5ARg2le60J6FEXt2DdFs1vAMWg+6CMnyUs1T3MgmdDfZAvI2CUEpGQDtlOQIKNrfARQBA==" saltValue="2Dvk9vWB2vUF322zTYxK+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0</v>
      </c>
      <c r="L10" s="194">
        <v>10</v>
      </c>
      <c r="M10" s="194">
        <v>0</v>
      </c>
      <c r="N10" s="194">
        <v>0</v>
      </c>
      <c r="O10" s="194">
        <v>0</v>
      </c>
      <c r="P10" s="194">
        <v>0</v>
      </c>
      <c r="Q10" s="194">
        <v>0</v>
      </c>
      <c r="R10" s="194">
        <v>0</v>
      </c>
      <c r="S10" s="194">
        <v>5</v>
      </c>
      <c r="T10" s="194">
        <v>0</v>
      </c>
      <c r="U10" s="194">
        <v>0</v>
      </c>
      <c r="V10" s="194">
        <v>5</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5</v>
      </c>
      <c r="AZ10" s="139">
        <f t="shared" si="0"/>
        <v>0</v>
      </c>
      <c r="BA10" s="139">
        <f t="shared" si="0"/>
        <v>0</v>
      </c>
      <c r="BB10" s="139">
        <f t="shared" si="0"/>
        <v>5</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383</v>
      </c>
      <c r="J12" s="196">
        <v>222</v>
      </c>
      <c r="K12" s="196">
        <v>137</v>
      </c>
      <c r="L12" s="196">
        <v>468</v>
      </c>
      <c r="M12" s="196">
        <v>43</v>
      </c>
      <c r="N12" s="196">
        <v>104</v>
      </c>
      <c r="O12" s="194">
        <v>74</v>
      </c>
      <c r="P12" s="196">
        <v>42</v>
      </c>
      <c r="Q12" s="196">
        <v>27</v>
      </c>
      <c r="R12" s="196">
        <v>787</v>
      </c>
      <c r="S12" s="196">
        <v>349</v>
      </c>
      <c r="T12" s="196">
        <v>168</v>
      </c>
      <c r="U12" s="196">
        <v>120</v>
      </c>
      <c r="V12" s="196">
        <v>397</v>
      </c>
      <c r="W12" s="196">
        <v>37</v>
      </c>
      <c r="X12" s="202">
        <v>44</v>
      </c>
      <c r="Y12" s="204">
        <v>88</v>
      </c>
      <c r="Z12" s="194">
        <v>46</v>
      </c>
      <c r="AA12" s="194">
        <v>52</v>
      </c>
      <c r="AB12" s="194">
        <v>82</v>
      </c>
      <c r="AC12" s="196">
        <v>0</v>
      </c>
      <c r="AD12" s="196">
        <v>0</v>
      </c>
      <c r="AE12" s="196">
        <v>0</v>
      </c>
      <c r="AF12" s="202">
        <v>0</v>
      </c>
      <c r="AG12" s="215">
        <v>93</v>
      </c>
      <c r="AH12" s="196">
        <v>73</v>
      </c>
      <c r="AI12" s="196">
        <v>24</v>
      </c>
      <c r="AJ12" s="216">
        <v>142</v>
      </c>
      <c r="AK12" s="195">
        <v>0</v>
      </c>
      <c r="AL12" s="196">
        <v>0</v>
      </c>
      <c r="AM12" s="196">
        <v>0</v>
      </c>
      <c r="AN12" s="202">
        <v>0</v>
      </c>
      <c r="AO12" s="283">
        <v>2</v>
      </c>
      <c r="AP12" s="168">
        <v>2</v>
      </c>
      <c r="AQ12" s="168">
        <v>2</v>
      </c>
      <c r="AR12" s="167">
        <v>2</v>
      </c>
      <c r="AS12" s="381" t="s">
        <v>1075</v>
      </c>
      <c r="AT12" s="216"/>
      <c r="AU12" s="215"/>
      <c r="AV12" s="216"/>
      <c r="AW12" s="215"/>
      <c r="AX12" s="216"/>
      <c r="AY12" s="136">
        <f t="shared" si="1"/>
        <v>442</v>
      </c>
      <c r="AZ12" s="137">
        <f t="shared" si="1"/>
        <v>241</v>
      </c>
      <c r="BA12" s="137">
        <f t="shared" si="1"/>
        <v>144</v>
      </c>
      <c r="BB12" s="137">
        <f t="shared" si="1"/>
        <v>539</v>
      </c>
      <c r="BC12" s="135">
        <f>IF(ISNUMBER(X12),X12," - ")</f>
        <v>44</v>
      </c>
      <c r="BD12" s="136">
        <f t="shared" si="2"/>
        <v>0.59751037344398339</v>
      </c>
      <c r="BE12" s="137">
        <f t="shared" si="3"/>
        <v>3.7430555555555554</v>
      </c>
      <c r="BF12" s="137">
        <f t="shared" si="4"/>
        <v>0.30555555555555558</v>
      </c>
      <c r="BG12" s="209">
        <f t="shared" si="5"/>
        <v>4.7430555555555554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392</v>
      </c>
      <c r="J14" s="197">
        <f t="shared" si="7"/>
        <v>223</v>
      </c>
      <c r="K14" s="197">
        <f t="shared" si="7"/>
        <v>137</v>
      </c>
      <c r="L14" s="197">
        <f t="shared" si="7"/>
        <v>478</v>
      </c>
      <c r="M14" s="197">
        <f t="shared" si="7"/>
        <v>43</v>
      </c>
      <c r="N14" s="197">
        <f t="shared" si="7"/>
        <v>104</v>
      </c>
      <c r="O14" s="197">
        <f t="shared" si="7"/>
        <v>74</v>
      </c>
      <c r="P14" s="197">
        <f t="shared" si="7"/>
        <v>42</v>
      </c>
      <c r="Q14" s="197">
        <f t="shared" si="7"/>
        <v>27</v>
      </c>
      <c r="R14" s="197">
        <f t="shared" si="7"/>
        <v>787</v>
      </c>
      <c r="S14" s="197">
        <f t="shared" si="7"/>
        <v>354</v>
      </c>
      <c r="T14" s="197">
        <f t="shared" si="7"/>
        <v>168</v>
      </c>
      <c r="U14" s="197">
        <f t="shared" si="7"/>
        <v>120</v>
      </c>
      <c r="V14" s="197">
        <f t="shared" si="7"/>
        <v>402</v>
      </c>
      <c r="W14" s="197">
        <f t="shared" si="7"/>
        <v>37</v>
      </c>
      <c r="X14" s="197">
        <f t="shared" si="7"/>
        <v>44</v>
      </c>
      <c r="Y14" s="197">
        <f t="shared" si="7"/>
        <v>88</v>
      </c>
      <c r="Z14" s="197">
        <f t="shared" si="7"/>
        <v>46</v>
      </c>
      <c r="AA14" s="197">
        <f t="shared" si="7"/>
        <v>52</v>
      </c>
      <c r="AB14" s="197">
        <f t="shared" si="7"/>
        <v>82</v>
      </c>
      <c r="AC14" s="197">
        <f t="shared" si="7"/>
        <v>0</v>
      </c>
      <c r="AD14" s="197">
        <f t="shared" si="7"/>
        <v>0</v>
      </c>
      <c r="AE14" s="197">
        <f t="shared" si="7"/>
        <v>0</v>
      </c>
      <c r="AF14" s="197">
        <f>SUBTOTAL(9,AF9:AF13)</f>
        <v>0</v>
      </c>
      <c r="AG14" s="197">
        <f t="shared" ref="AG14:AT14" si="8">SUBTOTAL(9,AG8:AG13)</f>
        <v>93</v>
      </c>
      <c r="AH14" s="197">
        <f t="shared" si="8"/>
        <v>73</v>
      </c>
      <c r="AI14" s="197">
        <f t="shared" si="8"/>
        <v>24</v>
      </c>
      <c r="AJ14" s="197">
        <f t="shared" si="8"/>
        <v>142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447</v>
      </c>
      <c r="AZ14" s="197">
        <f>SUBTOTAL(9,AZ8:AZ13)</f>
        <v>241</v>
      </c>
      <c r="BA14" s="197">
        <f>SUBTOTAL(9,BA8:BA13)</f>
        <v>144</v>
      </c>
      <c r="BB14" s="197">
        <f>SUBTOTAL(9,BB8:BB13)</f>
        <v>544</v>
      </c>
      <c r="BC14" s="197">
        <f>SUBTOTAL(9,BC8:BC13)</f>
        <v>44</v>
      </c>
      <c r="BD14" s="219">
        <f>IF(ISNUMBER(BA14/AZ14),BA14/AZ14," - ")</f>
        <v>0.59751037344398339</v>
      </c>
      <c r="BE14" s="220">
        <f>IF(ISNUMBER(BB14/BA14),BB14/BA14, " - ")</f>
        <v>3.7777777777777777</v>
      </c>
      <c r="BF14" s="220">
        <f>IF(ISNUMBER(BC14/BA14),BC14/BA14, " - ")</f>
        <v>0.30555555555555558</v>
      </c>
      <c r="BG14" s="221">
        <f>IF(ISNUMBER((AY14+AZ14)/BA14),(AY14+AZ14)/BA14," - ")</f>
        <v>4.7777777777777777</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189</v>
      </c>
      <c r="J17" s="196">
        <v>173</v>
      </c>
      <c r="K17" s="196">
        <v>179</v>
      </c>
      <c r="L17" s="196">
        <v>183</v>
      </c>
      <c r="M17" s="196">
        <v>27</v>
      </c>
      <c r="N17" s="196">
        <v>107</v>
      </c>
      <c r="O17" s="194">
        <v>2</v>
      </c>
      <c r="P17" s="196">
        <v>9</v>
      </c>
      <c r="Q17" s="196">
        <v>4</v>
      </c>
      <c r="R17" s="196">
        <v>35</v>
      </c>
      <c r="S17" s="196">
        <v>177</v>
      </c>
      <c r="T17" s="196">
        <v>160</v>
      </c>
      <c r="U17" s="196">
        <v>137</v>
      </c>
      <c r="V17" s="196">
        <v>194</v>
      </c>
      <c r="W17" s="196">
        <v>17</v>
      </c>
      <c r="X17" s="202">
        <v>86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177</v>
      </c>
      <c r="AZ17" s="137">
        <f t="shared" si="10"/>
        <v>160</v>
      </c>
      <c r="BA17" s="137">
        <f t="shared" si="10"/>
        <v>137</v>
      </c>
      <c r="BB17" s="137">
        <f t="shared" si="10"/>
        <v>194</v>
      </c>
      <c r="BC17" s="135">
        <f>IF(ISNUMBER(W17),W17," - ")</f>
        <v>17</v>
      </c>
      <c r="BD17" s="136">
        <f t="shared" ref="BD17:BD22" si="12">IF(ISNUMBER(BA17/AZ17),BA17/AZ17," - ")</f>
        <v>0.85624999999999996</v>
      </c>
      <c r="BE17" s="137">
        <f t="shared" ref="BE17:BE22" si="13">IF(ISNUMBER(BB17/BA17),BB17/BA17, " - ")</f>
        <v>1.416058394160584</v>
      </c>
      <c r="BF17" s="137">
        <f t="shared" ref="BF17:BF22" si="14">IF(ISNUMBER(BC17/BA17),BC17/BA17, " - ")</f>
        <v>0.12408759124087591</v>
      </c>
      <c r="BG17" s="209">
        <f t="shared" si="11"/>
        <v>2.4598540145985401</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8</v>
      </c>
      <c r="J18" s="196">
        <v>12</v>
      </c>
      <c r="K18" s="196">
        <v>14</v>
      </c>
      <c r="L18" s="196">
        <v>6</v>
      </c>
      <c r="M18" s="196">
        <v>4</v>
      </c>
      <c r="N18" s="196">
        <v>10</v>
      </c>
      <c r="O18" s="196">
        <v>0</v>
      </c>
      <c r="P18" s="196">
        <v>0</v>
      </c>
      <c r="Q18" s="196">
        <v>0</v>
      </c>
      <c r="R18" s="196">
        <v>2</v>
      </c>
      <c r="S18" s="196">
        <v>4</v>
      </c>
      <c r="T18" s="196">
        <v>18</v>
      </c>
      <c r="U18" s="196">
        <v>12</v>
      </c>
      <c r="V18" s="196">
        <v>10</v>
      </c>
      <c r="W18" s="196">
        <v>0</v>
      </c>
      <c r="X18" s="202">
        <v>5</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v>
      </c>
      <c r="AZ18" s="139">
        <f t="shared" si="15"/>
        <v>18</v>
      </c>
      <c r="BA18" s="139">
        <f t="shared" si="15"/>
        <v>12</v>
      </c>
      <c r="BB18" s="139">
        <f t="shared" si="15"/>
        <v>10</v>
      </c>
      <c r="BC18" s="135">
        <f>IF(ISNUMBER(W18),W18," - ")</f>
        <v>0</v>
      </c>
      <c r="BD18" s="136">
        <f>IF(ISNUMBER(BA18/AZ18),BA18/AZ18," - ")</f>
        <v>0.66666666666666663</v>
      </c>
      <c r="BE18" s="137">
        <f>IF(ISNUMBER(BB18/BA18),BB18/BA18, " - ")</f>
        <v>0.83333333333333337</v>
      </c>
      <c r="BF18" s="137">
        <f>IF(ISNUMBER(BC18/BA18),BC18/BA18, " - ")</f>
        <v>0</v>
      </c>
      <c r="BG18" s="209">
        <f>IF(ISNUMBER((AY18+AZ18)/BA18),(AY18+AZ18)/BA18," - ")</f>
        <v>1.8333333333333333</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197</v>
      </c>
      <c r="J23" s="197">
        <f t="shared" si="21"/>
        <v>185</v>
      </c>
      <c r="K23" s="197">
        <f t="shared" si="21"/>
        <v>193</v>
      </c>
      <c r="L23" s="197">
        <f t="shared" si="21"/>
        <v>189</v>
      </c>
      <c r="M23" s="197">
        <f t="shared" si="21"/>
        <v>31</v>
      </c>
      <c r="N23" s="197">
        <f t="shared" si="21"/>
        <v>117</v>
      </c>
      <c r="O23" s="197">
        <f t="shared" si="21"/>
        <v>2</v>
      </c>
      <c r="P23" s="197">
        <f t="shared" si="21"/>
        <v>9</v>
      </c>
      <c r="Q23" s="197">
        <f t="shared" si="21"/>
        <v>4</v>
      </c>
      <c r="R23" s="197">
        <f t="shared" si="21"/>
        <v>37</v>
      </c>
      <c r="S23" s="197">
        <f t="shared" si="21"/>
        <v>181</v>
      </c>
      <c r="T23" s="197">
        <f t="shared" si="21"/>
        <v>178</v>
      </c>
      <c r="U23" s="197">
        <f t="shared" si="21"/>
        <v>149</v>
      </c>
      <c r="V23" s="197">
        <f t="shared" si="21"/>
        <v>204</v>
      </c>
      <c r="W23" s="197">
        <f t="shared" si="21"/>
        <v>17</v>
      </c>
      <c r="X23" s="197">
        <f t="shared" si="21"/>
        <v>91</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181</v>
      </c>
      <c r="AZ23" s="197">
        <f>SUBTOTAL(9,AZ15:AZ22)</f>
        <v>178</v>
      </c>
      <c r="BA23" s="197">
        <f>SUBTOTAL(9,BA15:BA22)</f>
        <v>149</v>
      </c>
      <c r="BB23" s="197">
        <f>SUBTOTAL(9,BB15:BB22)</f>
        <v>204</v>
      </c>
      <c r="BC23" s="197">
        <f>SUBTOTAL(9,BC15:BC22)</f>
        <v>17</v>
      </c>
      <c r="BD23" s="219">
        <f>IF(ISNUMBER(BA23/AZ23),BA23/AZ23," - ")</f>
        <v>0.8370786516853933</v>
      </c>
      <c r="BE23" s="220">
        <f>IF(ISNUMBER(BB23/BA23),BB23/BA23, " - ")</f>
        <v>1.3691275167785235</v>
      </c>
      <c r="BF23" s="220">
        <f>IF(ISNUMBER(BC23/BA23),BC23/BA23, " - ")</f>
        <v>0.11409395973154363</v>
      </c>
      <c r="BG23" s="221">
        <f>IF(ISNUMBER((AY23+AZ23)/BA23),(AY23+AZ23)/BA23," - ")</f>
        <v>2.4093959731543624</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589</v>
      </c>
      <c r="J31" s="144">
        <f t="shared" si="36"/>
        <v>408</v>
      </c>
      <c r="K31" s="144">
        <f t="shared" si="36"/>
        <v>330</v>
      </c>
      <c r="L31" s="144">
        <f t="shared" si="36"/>
        <v>667</v>
      </c>
      <c r="M31" s="144">
        <f t="shared" si="36"/>
        <v>74</v>
      </c>
      <c r="N31" s="144">
        <f t="shared" si="36"/>
        <v>221</v>
      </c>
      <c r="O31" s="144">
        <f t="shared" si="36"/>
        <v>76</v>
      </c>
      <c r="P31" s="144">
        <f t="shared" si="36"/>
        <v>51</v>
      </c>
      <c r="Q31" s="144">
        <f t="shared" si="36"/>
        <v>31</v>
      </c>
      <c r="R31" s="144">
        <f t="shared" si="36"/>
        <v>824</v>
      </c>
      <c r="S31" s="144">
        <f t="shared" si="36"/>
        <v>535</v>
      </c>
      <c r="T31" s="144">
        <f t="shared" si="36"/>
        <v>346</v>
      </c>
      <c r="U31" s="144">
        <f t="shared" si="36"/>
        <v>269</v>
      </c>
      <c r="V31" s="144">
        <f t="shared" si="36"/>
        <v>606</v>
      </c>
      <c r="W31" s="144">
        <f t="shared" si="36"/>
        <v>54</v>
      </c>
      <c r="X31" s="144">
        <f t="shared" si="36"/>
        <v>135</v>
      </c>
      <c r="Y31" s="144">
        <f t="shared" si="36"/>
        <v>88</v>
      </c>
      <c r="Z31" s="144">
        <f t="shared" si="36"/>
        <v>46</v>
      </c>
      <c r="AA31" s="144">
        <f t="shared" si="36"/>
        <v>52</v>
      </c>
      <c r="AB31" s="144">
        <f t="shared" si="36"/>
        <v>82</v>
      </c>
      <c r="AC31" s="144">
        <f t="shared" si="36"/>
        <v>0</v>
      </c>
      <c r="AD31" s="144">
        <f t="shared" si="36"/>
        <v>0</v>
      </c>
      <c r="AE31" s="144">
        <f t="shared" si="36"/>
        <v>0</v>
      </c>
      <c r="AF31" s="144">
        <f t="shared" si="36"/>
        <v>0</v>
      </c>
      <c r="AG31" s="144">
        <f t="shared" si="36"/>
        <v>93</v>
      </c>
      <c r="AH31" s="144">
        <f t="shared" si="36"/>
        <v>73</v>
      </c>
      <c r="AI31" s="144">
        <f t="shared" si="36"/>
        <v>24</v>
      </c>
      <c r="AJ31" s="144">
        <f t="shared" si="36"/>
        <v>142</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628</v>
      </c>
      <c r="AZ31" s="144">
        <f>SUBTOTAL(9,AZ9:AZ30)</f>
        <v>419</v>
      </c>
      <c r="BA31" s="144">
        <f>SUBTOTAL(9,BA9:BA30)</f>
        <v>293</v>
      </c>
      <c r="BB31" s="144">
        <f>SUBTOTAL(9,BB9:BB30)</f>
        <v>748</v>
      </c>
      <c r="BC31" s="145">
        <f>SUBTOTAL(9,BC9:BC30)</f>
        <v>61</v>
      </c>
      <c r="BD31" s="227">
        <f>IF(ISNUMBER(BA31/AZ31),BA31/AZ31," - ")</f>
        <v>0.69928400954653935</v>
      </c>
      <c r="BE31" s="224">
        <f>IF(ISNUMBER(BB31/BA31),BB31/BA31, " - ")</f>
        <v>2.5529010238907848</v>
      </c>
      <c r="BF31" s="224">
        <f>IF(ISNUMBER(BC31/BA31),BC31/BA31, " - ")</f>
        <v>0.20819112627986347</v>
      </c>
      <c r="BG31" s="145">
        <f>IF(ISNUMBER((AY31+AZ31)/BA31),(AY31+AZ31)/BA31," - ")</f>
        <v>3.5733788395904438</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3AC64OzCVqA1YHCKbCugV/AvEBbJy9sywOYZkU5KIWU7g/Z3MzdYNCGfZ000jZvsK/zPTvn0AN1TkQxx7ritg==" saltValue="OyyTekNWqRpHmwx7u8Xc7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bv8KH+ka252hm4ogOptO2VtkBfn1RJFslxhaPer3BR4kgTm8/8sgtkPEhDju68QHbMM9CDdZlJR3r3SgIqo7eQ==" saltValue="gJdEhlW+bhewHNRI9ydUA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OURENSE  Resumenes por Partidos Judiciales  O BARCO DE VALDEORRAS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46</v>
      </c>
      <c r="O12" s="549"/>
      <c r="P12" s="549"/>
      <c r="Q12" s="547">
        <f>IF(ISNUMBER(Datos!P12),Datos!P12,0)</f>
        <v>42</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82</v>
      </c>
      <c r="AI12" s="549" t="str">
        <f>IF(ISNUMBER(Datos!CD12),Datos!CD12,"-")</f>
        <v>-</v>
      </c>
      <c r="AJ12" s="549" t="str">
        <f>IF(ISNUMBER(Datos!EN12),Datos!EN12," - ")</f>
        <v xml:space="preserve"> - </v>
      </c>
      <c r="AK12" s="549"/>
      <c r="AL12" s="550"/>
      <c r="AM12" s="766">
        <f>IF(ISNUMBER(Datos!R12),Datos!R12," - ")</f>
        <v>787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43</v>
      </c>
      <c r="BD12" s="693">
        <f>IF(ISNUMBER(Datos!N12),Datos!N12," - ")</f>
        <v>104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0.70522388059701491</v>
      </c>
      <c r="BH12" s="764">
        <f>IF(ISNUMBER(((IF(J_V="SI",Datos!L12/Datos!K12,(Datos!L12+Datos!AB12)/(Datos!K12+Datos!AA12)))*11)/factor_trimestre),((IF(J_V="SI",Datos!L12/Datos!K12,(Datos!L12+Datos!AB12)/(Datos!K12+Datos!AA12)))*11)/factor_trimestre," - ")</f>
        <v>5.8201058201058204</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1.9430051813471502E-2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46</v>
      </c>
      <c r="O14" s="1199">
        <f t="shared" si="1"/>
        <v>0</v>
      </c>
      <c r="P14" s="1199">
        <f t="shared" si="1"/>
        <v>0</v>
      </c>
      <c r="Q14" s="1198">
        <f t="shared" si="1"/>
        <v>42</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27</v>
      </c>
      <c r="AD14" s="1198">
        <f t="shared" si="2"/>
        <v>0</v>
      </c>
      <c r="AE14" s="1198">
        <f t="shared" si="2"/>
        <v>0</v>
      </c>
      <c r="AF14" s="1198">
        <f t="shared" si="2"/>
        <v>10</v>
      </c>
      <c r="AG14" s="1198">
        <f t="shared" si="2"/>
        <v>0</v>
      </c>
      <c r="AH14" s="1198">
        <f t="shared" si="2"/>
        <v>82</v>
      </c>
      <c r="AI14" s="1198">
        <f t="shared" si="2"/>
        <v>0</v>
      </c>
      <c r="AJ14" s="1198">
        <f t="shared" si="2"/>
        <v>0</v>
      </c>
      <c r="AK14" s="1198">
        <f t="shared" si="2"/>
        <v>0</v>
      </c>
      <c r="AL14" s="1198">
        <f t="shared" si="2"/>
        <v>0</v>
      </c>
      <c r="AM14" s="1198">
        <f t="shared" si="2"/>
        <v>787</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43</v>
      </c>
      <c r="BD14" s="1198">
        <f t="shared" si="2"/>
        <v>104</v>
      </c>
      <c r="BE14" s="1198">
        <f t="shared" si="2"/>
        <v>0</v>
      </c>
      <c r="BF14" s="1198">
        <f t="shared" si="2"/>
        <v>0</v>
      </c>
      <c r="BG14" s="1198">
        <f>IF(ISNUMBER(Datos!K14/Datos!J14),Datos!K14/Datos!J14," - ")</f>
        <v>0.61434977578475336</v>
      </c>
      <c r="BH14" s="1202">
        <f>IF(ISNUMBER(((Datos!L14/Datos!K14)*11)/factor_trimestre),((Datos!L14/Datos!K14)*11)/factor_trimestre," - ")</f>
        <v>6.9781021897810227</v>
      </c>
      <c r="BI14" s="1198">
        <f>IF(ISNUMBER('Resol  Asuntos'!D14/NºAsuntos!G14),'Resol  Asuntos'!D14/NºAsuntos!G14," - ")</f>
        <v>0.2275132275132275</v>
      </c>
      <c r="BJ14" s="1198" t="str">
        <f>IF(ISNUMBER(Datos!CI14/Datos!CJ14),Datos!CI14/Datos!CJ14," - ")</f>
        <v xml:space="preserve"> - </v>
      </c>
      <c r="BK14" s="1198">
        <f>SUBTOTAL(9,BK8:BK13)</f>
        <v>0</v>
      </c>
      <c r="BL14" s="1198">
        <f>IF(ISNUMBER((I14-AB14+L14)/(F14)),(I14-AB14+L14)/(F14)," - ")</f>
        <v>0</v>
      </c>
      <c r="BM14" s="1203">
        <f>SUBTOTAL(9,BM9:BM13)</f>
        <v>1.9430051813471502E-2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189</v>
      </c>
      <c r="G17" s="743">
        <f>IF(ISNUMBER(IF(D_I="SI",Datos!I17,Datos!I17+Datos!AC17)),IF(D_I="SI",Datos!I17,Datos!I17+Datos!AC17)," - ")</f>
        <v>189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9</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179</v>
      </c>
      <c r="AC17" s="240">
        <f>IF(ISNUMBER(Datos!Q17),Datos!Q17," - ")</f>
        <v>4</v>
      </c>
      <c r="AD17" s="374"/>
      <c r="AE17" s="562"/>
      <c r="AF17" s="741">
        <f>IF(ISNUMBER(IF(D_I="SI",Datos!L17,Datos!L17+Datos!AF17)),IF(D_I="SI",Datos!L17,Datos!L17+Datos!AF17)," - ")</f>
        <v>183</v>
      </c>
      <c r="AG17" s="374"/>
      <c r="AH17" s="374"/>
      <c r="AI17" s="374"/>
      <c r="AJ17" s="549"/>
      <c r="AK17" s="374"/>
      <c r="AL17" s="545"/>
      <c r="AM17" s="375">
        <f>IF(ISNUMBER(Datos!R17),Datos!R17," - ")</f>
        <v>35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27</v>
      </c>
      <c r="BD17" s="243">
        <f>IF(ISNUMBER(Datos!N17),Datos!N17," - ")</f>
        <v>107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1.0346820809248556</v>
      </c>
      <c r="BH17" s="764">
        <f>IF(ISNUMBER(((IF(D_I="SI",Datos!L17/Datos!K17,(Datos!L17+Datos!AF17)/(Datos!K17+Datos!AE17)))*11)/factor_trimestre),((IF(D_I="SI",Datos!L17/Datos!K17,(Datos!L17+Datos!AF17)/(Datos!K17+Datos!AE17)))*11)/factor_trimestre," - ")</f>
        <v>2.0446927374301676</v>
      </c>
      <c r="BI17" s="266">
        <f>IF(ISNUMBER('Resol  Asuntos'!D17/NºAsuntos!G17),'Resol  Asuntos'!D17/NºAsuntos!G17," - ")</f>
        <v>0.15083798882681565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14</v>
      </c>
      <c r="AC18" s="547">
        <f>IF(ISNUMBER(Datos!Q18),Datos!Q18," - ")</f>
        <v>0</v>
      </c>
      <c r="AD18" s="549"/>
      <c r="AE18" s="562"/>
      <c r="AF18" s="551">
        <f>IF(ISNUMBER(Datos!L18),Datos!L18,"-")</f>
        <v>6</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1.1666666666666667</v>
      </c>
      <c r="BH18" s="764">
        <f>IF(ISNUMBER(((IF(D_I="SI",Datos!L18/Datos!K18,(Datos!L18+Datos!AF18)/(Datos!K18+Datos!AE18)))*11)/factor_trimestre),((IF(D_I="SI",Datos!L18/Datos!K18,(Datos!L18+Datos!AF18)/(Datos!K18+Datos!AE18)))*11)/factor_trimestre," - ")</f>
        <v>0.85714285714285721</v>
      </c>
      <c r="BI18" s="763">
        <f>IF(ISNUMBER('Resol  Asuntos'!D18/NºAsuntos!G18),'Resol  Asuntos'!D18/NºAsuntos!G18," - ")</f>
        <v>0.2857142857142857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189</v>
      </c>
      <c r="G23" s="1197">
        <f>SUBTOTAL(9,G16:G22)</f>
        <v>197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9</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193</v>
      </c>
      <c r="AC23" s="1198">
        <f t="shared" si="5"/>
        <v>4</v>
      </c>
      <c r="AD23" s="1198">
        <f t="shared" si="5"/>
        <v>0</v>
      </c>
      <c r="AE23" s="1198">
        <f t="shared" si="5"/>
        <v>0</v>
      </c>
      <c r="AF23" s="1198">
        <f t="shared" si="5"/>
        <v>189</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117</v>
      </c>
      <c r="BE23" s="1198">
        <f t="shared" si="5"/>
        <v>0</v>
      </c>
      <c r="BF23" s="1198">
        <f t="shared" si="5"/>
        <v>0</v>
      </c>
      <c r="BG23" s="1198">
        <f>IF(ISNUMBER(Datos!K23/Datos!J23),Datos!K23/Datos!J23," - ")</f>
        <v>1.0432432432432432</v>
      </c>
      <c r="BH23" s="1202">
        <f>IF(ISNUMBER(((Datos!L23/Datos!K23)*11)/factor_trimestre),((Datos!L23/Datos!K23)*11)/factor_trimestre," - ")</f>
        <v>1.9585492227979275</v>
      </c>
      <c r="BI23" s="1198">
        <f>SUBTOTAL(9,BI16:BI22)</f>
        <v>0.43655227454110135</v>
      </c>
      <c r="BJ23" s="1198">
        <f>SUBTOTAL(9,BJ16:BJ22)</f>
        <v>0</v>
      </c>
      <c r="BK23" s="1198">
        <f>SUBTOTAL(9,BK16:BK22)</f>
        <v>0</v>
      </c>
      <c r="BL23" s="1198">
        <f>IF(ISNUMBER((I23-AB23+L23)/(F23)),(I23-AB23+L23)/(F23)," - ")</f>
        <v>-1.0211640211640212</v>
      </c>
      <c r="BM23" s="1205">
        <f>IF(ISNUMBER((Datos!P23-Datos!Q23)/(Datos!R23-Datos!P23+Datos!Q23)),(Datos!P23-Datos!Q23)/(Datos!R23-Datos!P23+Datos!Q23)," - ")</f>
        <v>0.15625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198</v>
      </c>
      <c r="G31" s="1117">
        <f t="shared" si="18"/>
        <v>206</v>
      </c>
      <c r="H31" s="1119">
        <f t="shared" si="18"/>
        <v>0</v>
      </c>
      <c r="I31" s="1117">
        <f t="shared" si="18"/>
        <v>0</v>
      </c>
      <c r="J31" s="1119">
        <f t="shared" si="18"/>
        <v>0</v>
      </c>
      <c r="K31" s="1119">
        <f t="shared" si="18"/>
        <v>0</v>
      </c>
      <c r="L31" s="1180">
        <f t="shared" si="18"/>
        <v>0</v>
      </c>
      <c r="M31" s="1180">
        <f t="shared" si="18"/>
        <v>0</v>
      </c>
      <c r="N31" s="1180">
        <f t="shared" si="18"/>
        <v>46</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193</v>
      </c>
      <c r="AC31" s="1118">
        <f t="shared" si="19"/>
        <v>31</v>
      </c>
      <c r="AD31" s="1118">
        <f t="shared" si="19"/>
        <v>0</v>
      </c>
      <c r="AE31" s="1118">
        <f t="shared" si="19"/>
        <v>0</v>
      </c>
      <c r="AF31" s="1125">
        <f t="shared" si="19"/>
        <v>199</v>
      </c>
      <c r="AG31" s="1125">
        <f t="shared" si="19"/>
        <v>0</v>
      </c>
      <c r="AH31" s="1125">
        <f t="shared" si="19"/>
        <v>82</v>
      </c>
      <c r="AI31" s="1125">
        <f t="shared" si="19"/>
        <v>0</v>
      </c>
      <c r="AJ31" s="1118">
        <f t="shared" si="19"/>
        <v>0</v>
      </c>
      <c r="AK31" s="1125">
        <f t="shared" si="19"/>
        <v>0</v>
      </c>
      <c r="AL31" s="1125">
        <f t="shared" si="19"/>
        <v>0</v>
      </c>
      <c r="AM31" s="1125">
        <f t="shared" si="19"/>
        <v>824</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74</v>
      </c>
      <c r="BD31" s="1117">
        <f t="shared" si="19"/>
        <v>221</v>
      </c>
      <c r="BE31" s="1117">
        <f t="shared" si="19"/>
        <v>0</v>
      </c>
      <c r="BF31" s="1127">
        <f t="shared" si="19"/>
        <v>0</v>
      </c>
      <c r="BG31" s="1223">
        <f>IF(ISNUMBER(Datos!K31/Datos!J31),Datos!K31/Datos!J31," - ")</f>
        <v>0.80882352941176472</v>
      </c>
      <c r="BH31" s="1223">
        <f>IF(ISNUMBER(((Datos!L31/Datos!K31)*11)/factor_trimestre),((Datos!L31/Datos!K31)*11)/factor_trimestre," - ")</f>
        <v>4.042424242424242</v>
      </c>
      <c r="BI31" s="1103">
        <f>IF(ISNUMBER(Datos!J31/Datos!I31),Datos!J31/Datos!I31," - ")</f>
        <v>0.69269949066213921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-0.9747474747474747</v>
      </c>
      <c r="BM31" s="1188">
        <f>IF(ISNUMBER((Datos!P31-Datos!Q31+R31)/(Datos!R31-Datos!P31+Datos!Q31-R31)),(Datos!P31-Datos!Q31+R31)/(Datos!R31-Datos!P31+Datos!Q31-R31)," - ")</f>
        <v>2.4875621890547265E-2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58.857142857142854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95.360369126802354</v>
      </c>
      <c r="G33" s="674">
        <f>IF(ISNUMBER(STDEV(G8:G30)),STDEV(G8:G30),"-")</f>
        <v>91.748621372800613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89.62966133192846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19.51556155628484</v>
      </c>
      <c r="BD33" s="673"/>
      <c r="BE33" s="673">
        <f>IF(ISNUMBER(STDEV(BE8:BE30)),STDEV(BE8:BE30),"-")</f>
        <v>0</v>
      </c>
      <c r="BF33" s="678">
        <f>IF(ISNUMBER(STDEV(BF8:BF30)),STDEV(BF8:BF30),"-")</f>
        <v>0</v>
      </c>
      <c r="BG33" s="1052">
        <f>IF(ISNUMBER(STDEV(BG8:BG30)),STDEV(BG8:BG30),"-")</f>
        <v>0.42961989645963822</v>
      </c>
      <c r="BH33" s="1058">
        <f>IF(ISNUMBER(STDEV(BH8:BH30)),STDEV(BH8:BH30),"-")</f>
        <v>2.6904339392862497</v>
      </c>
      <c r="BI33" s="273">
        <f>IF(ISNUMBER(STDEV(BI8:BI30)),STDEV(BI8:BI30),"-")</f>
        <v>0.12094769736759581</v>
      </c>
      <c r="BJ33" s="244" t="str">
        <f>IF(ISNUMBER(BL33/BM33),BL33/BM33," - ")</f>
        <v xml:space="preserve"> - </v>
      </c>
      <c r="BK33" s="709"/>
      <c r="BL33" s="681">
        <f>IF(ISNUMBER(STDEV(BL8:BL30)),STDEV(BL8:BL30),"-")</f>
        <v>0.72207200406880245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o5Zectn0PBd3yzf3rvKFuf98HLNU5Eb7ajDLEuuJ3cwfU//KdmLXDMH2/PFgrjFoPtAVoI6gx57pe6s9kxz9A==" saltValue="dryQw/kLi/hOxkoD7mbX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OURENSE  Resumenes por Partidos Judiciales  O BARCO DE VALDEORRAS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42</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27</v>
      </c>
      <c r="AA12" s="551" t="str">
        <f>IF(ISNUMBER(IF(J_V="SI",Datos!L12,Datos!L12+Datos!AB12)-IF(Monitorios="SI",Datos!CD12,0)),
                          IF(J_V="SI",Datos!L12,Datos!L12+Datos!AB12)-IF(Monitorios="SI",Datos!CD12,0),
                          " - ")</f>
        <v xml:space="preserve"> - </v>
      </c>
      <c r="AB12" s="549"/>
      <c r="AC12" s="549"/>
      <c r="AD12" s="563"/>
      <c r="AE12" s="563">
        <f>IF(ISNUMBER(Datos!R12),Datos!R12," - ")</f>
        <v>787</v>
      </c>
      <c r="AF12" s="693" t="str">
        <f>IF(ISNUMBER(Datos!BV12),Datos!BV12," - ")</f>
        <v xml:space="preserve"> - </v>
      </c>
      <c r="AG12" s="552" t="str">
        <f>IF(ISNUMBER(Datos!DV12),Datos!DV12," - ")</f>
        <v xml:space="preserve"> - </v>
      </c>
      <c r="AH12" s="553"/>
      <c r="AI12" s="554"/>
      <c r="AJ12" s="552">
        <f>IF(ISNUMBER(Datos!M12),Datos!M12," - ")</f>
        <v>43</v>
      </c>
      <c r="AK12" s="693">
        <f>IF(ISNUMBER(Datos!N12),Datos!N12," - ")</f>
        <v>104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5.8201058201058204</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1.9430051813471502E-2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42</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27</v>
      </c>
      <c r="AA14" s="1199">
        <f t="shared" si="3"/>
        <v>10</v>
      </c>
      <c r="AB14" s="1199">
        <f t="shared" si="3"/>
        <v>0</v>
      </c>
      <c r="AC14" s="1199">
        <f t="shared" si="3"/>
        <v>0</v>
      </c>
      <c r="AD14" s="1199">
        <f t="shared" si="3"/>
        <v>0</v>
      </c>
      <c r="AE14" s="1199">
        <f t="shared" si="3"/>
        <v>787</v>
      </c>
      <c r="AF14" s="1211">
        <f t="shared" si="3"/>
        <v>0</v>
      </c>
      <c r="AG14" s="1211">
        <f t="shared" si="3"/>
        <v>0</v>
      </c>
      <c r="AH14" s="1211">
        <f t="shared" si="3"/>
        <v>0</v>
      </c>
      <c r="AI14" s="1211">
        <f t="shared" si="3"/>
        <v>0</v>
      </c>
      <c r="AJ14" s="1211">
        <f t="shared" si="3"/>
        <v>43</v>
      </c>
      <c r="AK14" s="1211">
        <f t="shared" si="3"/>
        <v>104</v>
      </c>
      <c r="AL14" s="1211">
        <f t="shared" si="3"/>
        <v>0</v>
      </c>
      <c r="AM14" s="1211">
        <f t="shared" si="3"/>
        <v>0</v>
      </c>
      <c r="AN14" s="1211">
        <f t="shared" si="3"/>
        <v>0</v>
      </c>
      <c r="AO14" s="1203">
        <f>IF(ISNUMBER(((NºAsuntos!I14/NºAsuntos!G14)*11)/factor_trimestre),((NºAsuntos!I14/NºAsuntos!G14)*11)/factor_trimestre," - ")</f>
        <v>5.9259259259259247</v>
      </c>
      <c r="AP14" s="1213" t="str">
        <f>IF(ISNUMBER(Datos!CI14/Datos!CJ14),Datos!CI14/Datos!CJ14," - ")</f>
        <v xml:space="preserve"> - </v>
      </c>
      <c r="AQ14" s="1236">
        <f t="shared" ref="AQ14:AV14" si="4">SUBTOTAL(9,AQ9:AQ13)</f>
        <v>0</v>
      </c>
      <c r="AR14" s="1236">
        <f t="shared" si="4"/>
        <v>1.9430051813471502E-2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189</v>
      </c>
      <c r="G17" s="552">
        <f>IF(ISNUMBER(IF(D_I="SI",Datos!I17,Datos!I17+Datos!AC17)),IF(D_I="SI",Datos!I17,Datos!I17+Datos!AC17)," - ")</f>
        <v>189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9</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179</v>
      </c>
      <c r="Z17" s="805">
        <f>IF(ISNUMBER(Datos!Q17),Datos!Q17," - ")</f>
        <v>4</v>
      </c>
      <c r="AA17" s="551">
        <f>IF(ISNUMBER(IF(D_I="SI",Datos!L17,Datos!L17+Datos!AF17)),IF(D_I="SI",Datos!L17,Datos!L17+Datos!AF17)," - ")</f>
        <v>183</v>
      </c>
      <c r="AB17" s="549"/>
      <c r="AC17" s="549"/>
      <c r="AD17" s="563"/>
      <c r="AE17" s="563">
        <f>IF(ISNUMBER(Datos!R17),Datos!R17," - ")</f>
        <v>35</v>
      </c>
      <c r="AF17" s="693" t="str">
        <f>IF(ISNUMBER(Datos!BV17),Datos!BV17," - ")</f>
        <v xml:space="preserve"> - </v>
      </c>
      <c r="AG17" s="552"/>
      <c r="AH17" s="553"/>
      <c r="AI17" s="554"/>
      <c r="AJ17" s="552">
        <f>IF(ISNUMBER(Datos!M17),Datos!M17," - ")</f>
        <v>27</v>
      </c>
      <c r="AK17" s="693">
        <f>IF(ISNUMBER(Datos!N17),Datos!N17," - ")</f>
        <v>107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2.0446927374301676</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14</v>
      </c>
      <c r="Z18" s="805">
        <f>IF(ISNUMBER(Datos!Q18),Datos!Q18," - ")</f>
        <v>0</v>
      </c>
      <c r="AA18" s="551">
        <f>IF(ISNUMBER(Datos!L18),Datos!L18,"-")</f>
        <v>6</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4</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0.85714285714285721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189</v>
      </c>
      <c r="G23" s="1197">
        <f>SUBTOTAL(9,G16:G22)</f>
        <v>197</v>
      </c>
      <c r="H23" s="1240">
        <f>SUBTOTAL(9,H16:H22)</f>
        <v>0</v>
      </c>
      <c r="I23" s="1217">
        <f>SUBTOTAL(9,I16:I22)</f>
        <v>0</v>
      </c>
      <c r="J23" s="1164">
        <f>SUBTOTAL(9,J15:J22)</f>
        <v>0</v>
      </c>
      <c r="K23" s="1240">
        <f t="shared" ref="K23:S23" si="5">SUBTOTAL(9,K16:K22)</f>
        <v>0</v>
      </c>
      <c r="L23" s="1240">
        <f t="shared" si="5"/>
        <v>0</v>
      </c>
      <c r="M23" s="1240">
        <f t="shared" si="5"/>
        <v>0</v>
      </c>
      <c r="N23" s="1240">
        <f t="shared" si="5"/>
        <v>9</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193</v>
      </c>
      <c r="Z23" s="1240">
        <f t="shared" si="6"/>
        <v>4</v>
      </c>
      <c r="AA23" s="1240">
        <f t="shared" si="6"/>
        <v>189</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31</v>
      </c>
      <c r="AK23" s="1240">
        <f t="shared" si="6"/>
        <v>117</v>
      </c>
      <c r="AL23" s="1240">
        <f t="shared" si="6"/>
        <v>0</v>
      </c>
      <c r="AM23" s="1240">
        <f t="shared" si="6"/>
        <v>0</v>
      </c>
      <c r="AN23" s="1240">
        <f t="shared" si="6"/>
        <v>0</v>
      </c>
      <c r="AO23" s="1242">
        <f>IF(ISNUMBER(((NºAsuntos!I23/NºAsuntos!G23)*11)/factor_trimestre),((NºAsuntos!I23/NºAsuntos!G23)*11)/factor_trimestre," - ")</f>
        <v>1.9585492227979275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198</v>
      </c>
      <c r="G31" s="1117">
        <f t="shared" si="12"/>
        <v>206</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193</v>
      </c>
      <c r="Z31" s="1124">
        <f t="shared" si="13"/>
        <v>31</v>
      </c>
      <c r="AA31" s="1125">
        <f t="shared" si="13"/>
        <v>199</v>
      </c>
      <c r="AB31" s="1125">
        <f t="shared" si="13"/>
        <v>0</v>
      </c>
      <c r="AC31" s="1125">
        <f t="shared" si="13"/>
        <v>0</v>
      </c>
      <c r="AD31" s="1126">
        <f t="shared" si="13"/>
        <v>0</v>
      </c>
      <c r="AE31" s="1126">
        <f t="shared" si="13"/>
        <v>824</v>
      </c>
      <c r="AF31" s="1127">
        <f t="shared" si="13"/>
        <v>0</v>
      </c>
      <c r="AG31" s="1128">
        <f t="shared" si="13"/>
        <v>0</v>
      </c>
      <c r="AH31" s="1129">
        <f t="shared" si="13"/>
        <v>0</v>
      </c>
      <c r="AI31" s="1127">
        <f t="shared" si="13"/>
        <v>0</v>
      </c>
      <c r="AJ31" s="1117">
        <f t="shared" si="13"/>
        <v>74</v>
      </c>
      <c r="AK31" s="1117">
        <f t="shared" si="13"/>
        <v>221</v>
      </c>
      <c r="AL31" s="1117">
        <f t="shared" si="13"/>
        <v>0</v>
      </c>
      <c r="AM31" s="1130">
        <f t="shared" si="13"/>
        <v>0</v>
      </c>
      <c r="AN31" s="1120">
        <f>IF(ISNUMBER(Datos!K31/Datos!J31),Datos!K31/Datos!J31," - ")</f>
        <v>0.80882352941176472</v>
      </c>
      <c r="AO31" s="1120">
        <f>IF(ISNUMBER(FIND("06",Criterios!A8,1)),(IF(ISNUMBER(((Datos!R31/Datos!Q31)*11)/factor_trimestre),((Datos!R31/Datos!Q31)*11)/factor_trimestre," - ")),(IF(ISNUMBER(((Datos!L31/Datos!K31)*11)/factor_trimestre),((Datos!L31/Datos!K31)*11)/factor_trimestre," - ")))</f>
        <v>4.042424242424242</v>
      </c>
      <c r="AP31" s="1131" t="str">
        <f>IF(ISNUMBER(Datos!CI31/Datos!CJ31),Datos!CI31/Datos!CJ31," - ")</f>
        <v xml:space="preserve"> - </v>
      </c>
      <c r="AQ31" s="1131">
        <f>IF(OR(ISNUMBER(FIND("01",Criterios!A8,1)),ISNUMBER(FIND("02",Criterios!A8,1)),ISNUMBER(FIND("03",Criterios!A8,1)),ISNUMBER(FIND("04",Criterios!A8,1))),(J31-Y31+K31)/(F31-K31),(I31-Y31+K31)/(F31-K31))</f>
        <v>-0.9747474747474747</v>
      </c>
      <c r="AR31" s="1131">
        <f>IF(ISNUMBER((Datos!P31-Datos!Q31+O31)/(Datos!R31-Datos!P31+Datos!Q31-O31)),(Datos!P31-Datos!Q31+O31)/(Datos!R31-Datos!P31+Datos!Q31-O31)," - ")</f>
        <v>2.4875621890547265E-2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58.857142857142854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95.360369126802354</v>
      </c>
      <c r="G33" s="674">
        <f>IF(ISNUMBER(STDEV(G8:G30)),STDEV(G8:G30),"-")</f>
        <v>91.748621372800613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19.51556155628484</v>
      </c>
      <c r="AK33" s="276"/>
      <c r="AL33" s="276">
        <f>IF(ISNUMBER(STDEV(AL8:AL30)),STDEV(AL8:AL30),"-")</f>
        <v>0</v>
      </c>
      <c r="AM33" s="278">
        <f>IF(ISNUMBER(STDEV(AM8:AM30)),STDEV(AM8:AM30),"-")</f>
        <v>0</v>
      </c>
      <c r="AN33" s="660">
        <f>IF(ISNUMBER(STDEV(AN8:AN30)),STDEV(AN8:AN30),"-")</f>
        <v>0</v>
      </c>
      <c r="AO33" s="661">
        <f>IF(ISNUMBER(STDEV(AO8:AO30)),STDEV(AO8:AO30),"-")</f>
        <v>2.3762887528408991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h1B8FKxLMNmu8VdxhWaxHgwIqJwyNbCrIzNbicak86iHzvkcALHHb+aqL+BBiHhNBGAZbJ47pGnxafYZ9MQExA==" saltValue="UyukXQZXZmQ3vBWT2wdsN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fEFhJXiWuenKlBOxylgXXgjbfwVWFbaxqBs1zJSy/dqMcUgj0tvd//2tu7cVlPzXa9fW+Qewz/rbFMF1JjNzww==" saltValue="V4sU1UJHqxWr+Rmt83Q9z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OURENSE</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aHLIbfxx0SRymRwnro/sLIDdeV2VHVuINwKcLuNS/wSY2dPZ0KnL3HKwTGFAHbzvEPv5/v0OmuzcKUoHpdOeQ==" saltValue="Cs4mm0Cq14r68DkaOwzUO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OURENSE  Resumenes por Partidos Judiciales  O BARCO DE VALDEORRAS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0.2275132275132275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0.16087614598424096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TCojhjwFBZB+3grFOj0+2dDRBG/MHFsU1yyB+Yy/ENKiPYR+gYI8XGF6HOd5NpJPkgNy8pgspYG/q5lc2Nx3Q==" saltValue="NbpXT2+tma16CHU50ccXh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IGAvpzioLTY5ZVQNfB/nvmPiNTQNneyRAtVghjkpJ0jNZoyR/9RS/iRjHhjgOMNdzIILyUxq0RiiF8Ku5rsqjw==" saltValue="ILHk5bLxM/9/n6pDW7In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OURENSE</v>
      </c>
      <c r="D3" s="436"/>
      <c r="E3" s="436"/>
      <c r="F3" s="436"/>
    </row>
    <row r="4" spans="1:14" ht="13.5" thickBot="1">
      <c r="A4" s="436"/>
      <c r="B4" s="439" t="str">
        <f>Criterios!A11 &amp;"  "&amp;Criterios!B11</f>
        <v>Resumenes por Partidos Judiciales  O BARCO DE VALDEORRAS</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0</v>
      </c>
      <c r="H10" s="452">
        <f>IF(ISNUMBER(G10/B10),G10/B10," - ")</f>
        <v>0</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471</v>
      </c>
      <c r="D12" s="452">
        <f>IF(ISNUMBER(C12/Datos!BH12),C12/Datos!BH12," - ")</f>
        <v>235.5</v>
      </c>
      <c r="E12" s="451">
        <f>IF(ISNUMBER(IF(J_V="SI",Datos!J12,Datos!J12+Datos!Z12)),IF(J_V="SI",Datos!J12,Datos!J12+Datos!Z12)," - ")</f>
        <v>268</v>
      </c>
      <c r="F12" s="452">
        <f>IF(ISNUMBER(E12/B12),E12/B12," - ")</f>
        <v>134</v>
      </c>
      <c r="G12" s="451">
        <f>IF(ISNUMBER(IF(J_V="SI",Datos!K12,Datos!K12+Datos!AA12)),IF(J_V="SI",Datos!K12,Datos!K12+Datos!AA12)," - ")</f>
        <v>189</v>
      </c>
      <c r="H12" s="452">
        <f>IF(ISNUMBER(G12/B12),G12/B12," - ")</f>
        <v>94.5</v>
      </c>
      <c r="I12" s="451">
        <f>IF(ISNUMBER(IF(J_V="SI",Datos!L12,Datos!L12+Datos!AB12)),IF(J_V="SI",Datos!L12,Datos!L12+Datos!AB12)," - ")</f>
        <v>550</v>
      </c>
      <c r="J12" s="452">
        <f>IF(ISNUMBER(I12/B12),I12/B12," - ")</f>
        <v>275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480</v>
      </c>
      <c r="D14" s="1147" t="str">
        <f>IF(ISNUMBER(C14/Datos!BI14),C14/Datos!BI14," - ")</f>
        <v xml:space="preserve"> - </v>
      </c>
      <c r="E14" s="1146">
        <f>SUBTOTAL(9,E8:E13)</f>
        <v>269</v>
      </c>
      <c r="F14" s="1147">
        <f>IF(ISNUMBER(E14/B14),E14/B14," - ")</f>
        <v>134.5</v>
      </c>
      <c r="G14" s="1146">
        <f>SUBTOTAL(9,G8:G13)</f>
        <v>189</v>
      </c>
      <c r="H14" s="1147">
        <f>IF(ISNUMBER(G14/B14),G14/B14," - ")</f>
        <v>94.5</v>
      </c>
      <c r="I14" s="1146">
        <f>SUBTOTAL(9,I8:I13)</f>
        <v>560</v>
      </c>
      <c r="J14" s="1147">
        <f>IF(ISNUMBER(I14/B14),I14/B14," - ")</f>
        <v>280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189</v>
      </c>
      <c r="D17" s="452">
        <f>IF(ISNUMBER(C17/Datos!BH17),C17/Datos!BH17," - ")</f>
        <v>94.5</v>
      </c>
      <c r="E17" s="451">
        <f>IF(ISNUMBER(IF(D_I="SI",Datos!J17,Datos!J17+Datos!AD17)),IF(D_I="SI",Datos!J17,Datos!J17+Datos!AD17)," - ")</f>
        <v>173</v>
      </c>
      <c r="F17" s="452">
        <f>IF(ISNUMBER(E17/B17),E17/B17," - ")</f>
        <v>86.5</v>
      </c>
      <c r="G17" s="451">
        <f>IF(ISNUMBER(IF(D_I="SI",Datos!K17,Datos!K17+Datos!AE17)),IF(D_I="SI",Datos!K17,Datos!K17+Datos!AE17)," - ")</f>
        <v>179</v>
      </c>
      <c r="H17" s="452">
        <f>IF(ISNUMBER(G17/B17),G17/B17," - ")</f>
        <v>89.5</v>
      </c>
      <c r="I17" s="451">
        <f>IF(ISNUMBER(IF(D_I="SI",Datos!L17,Datos!L17+Datos!AF17)),IF(D_I="SI",Datos!L17,Datos!L17+Datos!AF17)," - ")</f>
        <v>183</v>
      </c>
      <c r="J17" s="452">
        <f>IF(ISNUMBER(I17/B17),I17/B17," - ")</f>
        <v>91.5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8</v>
      </c>
      <c r="D18" s="452">
        <f>IF(ISNUMBER(C18/Datos!BH18),C18/Datos!BH18," - ")</f>
        <v>8</v>
      </c>
      <c r="E18" s="451">
        <f>IF(ISNUMBER(IF(D_I="SI",Datos!J18,Datos!J18+Datos!AD18)),IF(D_I="SI",Datos!J18,Datos!J18+Datos!AD18)," - ")</f>
        <v>12</v>
      </c>
      <c r="F18" s="452">
        <f>IF(ISNUMBER(E18/B18),E18/B18," - ")</f>
        <v>12</v>
      </c>
      <c r="G18" s="451">
        <f>IF(ISNUMBER(IF(D_I="SI",Datos!K18,Datos!K18+Datos!AE18)),IF(D_I="SI",Datos!K18,Datos!K18+Datos!AE18)," - ")</f>
        <v>14</v>
      </c>
      <c r="H18" s="452">
        <f>IF(ISNUMBER(G18/B18),G18/B18," - ")</f>
        <v>14</v>
      </c>
      <c r="I18" s="451">
        <f>IF(ISNUMBER(IF(D_I="SI",Datos!L18,Datos!L18+Datos!AF18)),IF(D_I="SI",Datos!L18,Datos!L18+Datos!AF18)," - ")</f>
        <v>6</v>
      </c>
      <c r="J18" s="452">
        <f>IF(ISNUMBER(I18/B18),I18/B18," - ")</f>
        <v>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197</v>
      </c>
      <c r="D23" s="1147" t="str">
        <f>IF(ISNUMBER(C23/Datos!BI23),C23/Datos!BI23," - ")</f>
        <v xml:space="preserve"> - </v>
      </c>
      <c r="E23" s="1146">
        <f>SUBTOTAL(9,E15:E22)</f>
        <v>185</v>
      </c>
      <c r="F23" s="1147">
        <f>IF(ISNUMBER(E23/B23),E23/B23," - ")</f>
        <v>92.5</v>
      </c>
      <c r="G23" s="1146">
        <f>SUBTOTAL(9,G15:G22)</f>
        <v>193</v>
      </c>
      <c r="H23" s="1147">
        <f>IF(ISNUMBER(G23/B23),G23/B23," - ")</f>
        <v>96.5</v>
      </c>
      <c r="I23" s="1146">
        <f>SUBTOTAL(9,I15:I22)</f>
        <v>189</v>
      </c>
      <c r="J23" s="1147">
        <f>IF(ISNUMBER(I23/B23),I23/B23," - ")</f>
        <v>94.5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677</v>
      </c>
      <c r="D31" s="1085" t="str">
        <f>IF(ISNUMBER(C31/Datos!BI31),C31/Datos!BI31," - ")</f>
        <v xml:space="preserve"> - </v>
      </c>
      <c r="E31" s="1084">
        <f>SUBTOTAL(9,E9:E30)</f>
        <v>454</v>
      </c>
      <c r="F31" s="1085">
        <f>IF(ISNUMBER(E31/B31),E31/B31," - ")</f>
        <v>227</v>
      </c>
      <c r="G31" s="1084">
        <f>SUBTOTAL(9,G9:G30)</f>
        <v>382</v>
      </c>
      <c r="H31" s="1085">
        <f>IF(ISNUMBER(G31/B31),G31/B31," - ")</f>
        <v>191</v>
      </c>
      <c r="I31" s="1084">
        <f>SUBTOTAL(9,I9:I30)</f>
        <v>749</v>
      </c>
      <c r="J31" s="1085">
        <f>IF(ISNUMBER(I31/B31),I31/B31," - ")</f>
        <v>374.5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FRkGMRTnD+aADM8jXjE2TETgCRnK9oUQ+hx6f1C6CNc01ROt799w/cl7Dia6o9nls5Gtfu612+uJGavAMjfBQg==" saltValue="rQf85jJcKj4O5//dDh9zz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OURENSE  Resumenes por Partidos Judiciales  O BARCO DE VALDEORRAS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42</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787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43</v>
      </c>
      <c r="AM12" s="914">
        <f>IF(ISNUMBER(Datos!N12+DatosP!N17),Datos!N12+DatosP!N17," - ")</f>
        <v>104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5.8201058201058204</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1.9430051813471502E-2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42</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27</v>
      </c>
      <c r="AE14" s="1257">
        <f t="shared" si="1"/>
        <v>0</v>
      </c>
      <c r="AF14" s="1257">
        <f t="shared" si="1"/>
        <v>10</v>
      </c>
      <c r="AG14" s="1257">
        <f t="shared" si="1"/>
        <v>0</v>
      </c>
      <c r="AH14" s="1257">
        <f t="shared" si="1"/>
        <v>787</v>
      </c>
      <c r="AI14" s="1257">
        <f t="shared" si="1"/>
        <v>0</v>
      </c>
      <c r="AJ14" s="1257">
        <f t="shared" si="1"/>
        <v>0</v>
      </c>
      <c r="AK14" s="1257">
        <f t="shared" si="1"/>
        <v>0</v>
      </c>
      <c r="AL14" s="1257">
        <f t="shared" si="1"/>
        <v>43</v>
      </c>
      <c r="AM14" s="1257">
        <f t="shared" si="1"/>
        <v>104</v>
      </c>
      <c r="AN14" s="1257">
        <f t="shared" si="1"/>
        <v>0</v>
      </c>
      <c r="AO14" s="1257">
        <f t="shared" si="1"/>
        <v>0</v>
      </c>
      <c r="AP14" s="1262">
        <f>IF(ISNUMBER(((Datos!L14/Datos!K14)*11)/factor_trimestre),((Datos!L14/Datos!K14)*11)/factor_trimestre," - ")</f>
        <v>6.9781021897810227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1.9430051813471502E-2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1.9585492227979275</v>
      </c>
      <c r="AQ23" s="1262">
        <f>IF(ISNUMBER(((Datos!M23/Datos!L23)*11)/factor_trimestre),((Datos!M23/Datos!L23)*11)/factor_trimestre," - ")</f>
        <v>0.32804232804232802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0.15625</v>
      </c>
      <c r="AW23" s="1265">
        <f>IF(ISNUMBER((Datos!Q23-Datos!R23)/(Datos!S23-Datos!Q23+Datos!R23)),(Datos!Q23-Datos!R23)/(Datos!S23-Datos!Q23+Datos!R23)," - ")</f>
        <v>-0.1542056074766355</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42</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27</v>
      </c>
      <c r="AE31" s="1284">
        <f t="shared" si="9"/>
        <v>0</v>
      </c>
      <c r="AF31" s="1285">
        <f t="shared" si="9"/>
        <v>10</v>
      </c>
      <c r="AG31" s="1285">
        <f t="shared" si="9"/>
        <v>0</v>
      </c>
      <c r="AH31" s="1285">
        <f t="shared" si="9"/>
        <v>787</v>
      </c>
      <c r="AI31" s="1285">
        <f t="shared" si="9"/>
        <v>0</v>
      </c>
      <c r="AJ31" s="1286">
        <f t="shared" si="9"/>
        <v>0</v>
      </c>
      <c r="AK31" s="1286">
        <f t="shared" si="9"/>
        <v>0</v>
      </c>
      <c r="AL31" s="1278">
        <f t="shared" si="9"/>
        <v>43</v>
      </c>
      <c r="AM31" s="1278">
        <f t="shared" si="9"/>
        <v>104</v>
      </c>
      <c r="AN31" s="1278">
        <f t="shared" si="9"/>
        <v>0</v>
      </c>
      <c r="AO31" s="1278">
        <f t="shared" si="9"/>
        <v>0</v>
      </c>
      <c r="AP31" s="1278">
        <f>IF(ISNUMBER(((Datos!L31/Datos!K31)*11)/factor_trimestre),((Datos!L31/Datos!K31)*11)/factor_trimestre," - ")</f>
        <v>4.042424242424242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2.4875621890547265E-2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22.205104518255855</v>
      </c>
      <c r="AM33" s="1006"/>
      <c r="AN33" s="1006">
        <f>IF(ISNUMBER(STDEV(AN8:AN30)),STDEV(AN8:AN30),"-")</f>
        <v>0</v>
      </c>
      <c r="AO33" s="1012">
        <f>IF(ISNUMBER(STDEV(AO8:AO30)),STDEV(AO8:AO30),"-")</f>
        <v>0</v>
      </c>
      <c r="AP33" s="1065">
        <f>IF(ISNUMBER(STDEV(AP8:AP30)),STDEV(AP8:AP30),"-")</f>
        <v>2.6283228789078241</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Txvj5cqRp1WztjkNqgGVLTN1SeofMW3eYIwOXUHC9llnS4xkIjTLIYqaGwnDauczh8xHuiKpp6ZCIpz1q5vRHA==" saltValue="rK6kmS86b8MIaA+48vwf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OURENSE</v>
      </c>
      <c r="C3" s="463"/>
      <c r="F3" s="436"/>
      <c r="G3" s="436"/>
      <c r="H3" s="436"/>
    </row>
    <row r="4" spans="1:15" ht="13.5" thickBot="1">
      <c r="A4" s="436"/>
      <c r="B4" s="439" t="str">
        <f>Criterios!A11 &amp;"  "&amp;Criterios!B11</f>
        <v>Resumenes por Partidos Judiciales  O BARCO DE VALDEORRAS</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qTEZ1/9In7hZwqYytxhhmkpFXEyFe4TOFSMaIaYZtLm68Z8kNVRahs39cOkow1obgSouMk2w2NgXOZwfaeX7JA==" saltValue="0PXEEN0brILE8j6Ctc3gK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OURENSE</v>
      </c>
      <c r="C3" s="475"/>
      <c r="D3" s="476"/>
    </row>
    <row r="4" spans="1:9" ht="13.5" thickBot="1">
      <c r="B4" s="477" t="str">
        <f>Criterios!A11 &amp;"  "&amp;Criterios!B11</f>
        <v>Resumenes por Partidos Judiciales  O BARCO DE VALDEORRAS</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43</v>
      </c>
      <c r="E12" s="452">
        <f t="shared" si="0"/>
        <v>21.5</v>
      </c>
      <c r="F12" s="451">
        <f>IF(ISNUMBER(Datos!N12),Datos!N12," - ")</f>
        <v>104</v>
      </c>
      <c r="G12" s="452">
        <f t="shared" si="1"/>
        <v>52</v>
      </c>
      <c r="H12" s="451">
        <f>IF(ISNUMBER(Datos!O12),Datos!O12," - ")</f>
        <v>74</v>
      </c>
      <c r="I12" s="452">
        <f t="shared" si="2"/>
        <v>37</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43</v>
      </c>
      <c r="E14" s="1147">
        <f t="shared" si="0"/>
        <v>14.333333333333334</v>
      </c>
      <c r="F14" s="1146">
        <f>SUBTOTAL(9,F9:F13)</f>
        <v>104</v>
      </c>
      <c r="G14" s="1147">
        <f t="shared" si="1"/>
        <v>34.666666666666664</v>
      </c>
      <c r="H14" s="1146">
        <f>SUBTOTAL(9,H9:H13)</f>
        <v>74</v>
      </c>
      <c r="I14" s="1147">
        <f>IF(ISNUMBER(H14/B14),H14/B14," - ")</f>
        <v>24.666666666666668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27</v>
      </c>
      <c r="E17" s="452">
        <f t="shared" si="3"/>
        <v>13.5</v>
      </c>
      <c r="F17" s="451">
        <f>IF(ISNUMBER(Datos!N17),Datos!N17," - ")</f>
        <v>107</v>
      </c>
      <c r="G17" s="452">
        <f t="shared" si="4"/>
        <v>53.5</v>
      </c>
      <c r="H17" s="451">
        <f>IF(ISNUMBER(Datos!O17),Datos!O17," - ")</f>
        <v>2</v>
      </c>
      <c r="I17" s="452">
        <f t="shared" si="5"/>
        <v>1</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117</v>
      </c>
      <c r="G23" s="1147">
        <f t="shared" si="4"/>
        <v>39</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74</v>
      </c>
      <c r="E31" s="1085">
        <f>IF(ISNUMBER(D31/B31),D31/B31," - ")</f>
        <v>37</v>
      </c>
      <c r="F31" s="1084">
        <f>SUBTOTAL(9,F8:F30)</f>
        <v>221</v>
      </c>
      <c r="G31" s="1085">
        <f>IF(ISNUMBER(F31/B31),F31/B31," - ")</f>
        <v>110.5</v>
      </c>
      <c r="H31" s="1084">
        <f>SUBTOTAL(9,H8:H30)</f>
        <v>76</v>
      </c>
      <c r="I31" s="1085">
        <f>IF(ISNUMBER(H31/B31),H31/B31," - ")</f>
        <v>38</v>
      </c>
    </row>
    <row r="34" spans="1:1">
      <c r="A34" s="439" t="str">
        <f>Criterios!A4</f>
        <v>Fecha Informe: 06 may. 2023</v>
      </c>
    </row>
    <row r="39" spans="1:1">
      <c r="A39" s="462"/>
    </row>
  </sheetData>
  <sheetProtection algorithmName="SHA-512" hashValue="AOh1cVMVIYT+Lj0lmG0YsaZ62tFzNbl3M8AHMUECkZgHgIR1l7YEgs04F65a6SGNNRiURrn10O4/+Fgl6ScqIA==" saltValue="WbCrbHtueP/ZasuHe8aF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OURENSE</v>
      </c>
    </row>
    <row r="4" spans="1:4" ht="13.5" thickBot="1">
      <c r="B4" s="439" t="str">
        <f>Criterios!A11 &amp;"  "&amp;Criterios!B11</f>
        <v>Resumenes por Partidos Judiciales  O BARCO DE VALDEORRAS</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42</v>
      </c>
      <c r="C12" s="489">
        <f>IF(ISNUMBER(Datos!Q12),Datos!Q12," - ")</f>
        <v>27</v>
      </c>
      <c r="D12" s="456">
        <f>IF(ISNUMBER(Datos!R12),Datos!R12," - ")</f>
        <v>787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42</v>
      </c>
      <c r="C14" s="1150">
        <f>SUBTOTAL(9,C9:C13)</f>
        <v>27</v>
      </c>
      <c r="D14" s="1148">
        <f>SUBTOTAL(9,D9:D13)</f>
        <v>787</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9</v>
      </c>
      <c r="C17" s="489">
        <f>IF(ISNUMBER(Datos!Q17),Datos!Q17," - ")</f>
        <v>4</v>
      </c>
      <c r="D17" s="456">
        <f>IF(ISNUMBER(Datos!R17),Datos!R17," - ")</f>
        <v>35</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9</v>
      </c>
      <c r="C23" s="1150">
        <f>SUBTOTAL(9,C16:C22)</f>
        <v>4</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31</v>
      </c>
      <c r="D31" s="1090">
        <f>SUBTOTAL(9,D8:D30)</f>
        <v>824</v>
      </c>
    </row>
    <row r="32" spans="1:4" ht="7.5" customHeight="1"/>
    <row r="33" spans="1:1" ht="6" customHeight="1"/>
    <row r="34" spans="1:1">
      <c r="A34" s="439" t="str">
        <f>Criterios!A4</f>
        <v>Fecha Informe: 06 may. 2023</v>
      </c>
    </row>
    <row r="39" spans="1:1">
      <c r="A39" s="462"/>
    </row>
  </sheetData>
  <sheetProtection algorithmName="SHA-512" hashValue="VgRfd/H9yIPLS42RWggPYuJMzmeWAWhEoMDRV2zgwR0rgJqcn1fMJvWkWDdF1h/rBFmw4IE4WBONbJKXpzJFcQ==" saltValue="on8CSyxsLIxRX1dgnc1Z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OURENSE</v>
      </c>
    </row>
    <row r="4" spans="1:11" ht="10.5" customHeight="1" thickBot="1">
      <c r="B4" s="439" t="str">
        <f>Criterios!A11 &amp;"  "&amp;Criterios!B11</f>
        <v>Resumenes por Partidos Judiciales  O BARCO DE VALDEORRAS</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0.8</v>
      </c>
      <c r="C10" s="515" t="str">
        <f>IF(ISNUMBER((Datos!J10-Datos!T10)/Datos!T10),(Datos!J10-Datos!T10)/Datos!T10," - ")</f>
        <v xml:space="preserve"> - </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6.561085972850679E-2</v>
      </c>
      <c r="C12" s="515">
        <f>IF(ISNUMBER(
   IF(J_V="SI",(Datos!J12-Datos!T12)/Datos!T12,(Datos!J12+Datos!Z12-(Datos!T12+Datos!AH12))/(Datos!T12+Datos!AH12))
     ),IF(J_V="SI",(Datos!J12-Datos!T12)/Datos!T12,(Datos!J12+Datos!Z12-(Datos!T12+Datos!AH12))/(Datos!T12+Datos!AH12))," - ")</f>
        <v>0.11203319502074689</v>
      </c>
      <c r="D12" s="515">
        <f>IF(ISNUMBER(
   IF(J_V="SI",(Datos!K12-Datos!U12)/Datos!U12,(Datos!K12+Datos!AA12-(Datos!U12+Datos!AI12))/(Datos!U12+Datos!AI12))
     ),IF(J_V="SI",(Datos!K12-Datos!U12)/Datos!U12,(Datos!K12+Datos!AA12-(Datos!U12+Datos!AI12))/(Datos!U12+Datos!AI12))," - ")</f>
        <v>0.3125</v>
      </c>
      <c r="E12" s="515">
        <f>IF(ISNUMBER(
   IF(J_V="SI",(Datos!L12-Datos!V12)/Datos!V12,(Datos!L12+Datos!AB12-(Datos!V12+Datos!AJ12))/(Datos!V12+Datos!AJ12))
     ),IF(J_V="SI",(Datos!L12-Datos!V12)/Datos!V12,(Datos!L12+Datos!AB12-(Datos!V12+Datos!AJ12))/(Datos!V12+Datos!AJ12))," - ")</f>
        <v>2.0408163265306121E-2</v>
      </c>
      <c r="F12" s="515">
        <f>IF(ISNUMBER((Datos!M12-Datos!W12)/Datos!W12),(Datos!M12-Datos!W12)/Datos!W12," - ")</f>
        <v>0.16216216216216217</v>
      </c>
      <c r="G12" s="516">
        <f>IF(ISNUMBER((Datos!N12-Datos!X12)/Datos!X12),(Datos!N12-Datos!X12)/Datos!X12," - ")</f>
        <v>1.3636363636363635</v>
      </c>
      <c r="H12" s="514">
        <f>IF(ISNUMBER(((NºAsuntos!G12/NºAsuntos!E12)-Datos!BD12)/Datos!BD12),((NºAsuntos!G12/NºAsuntos!E12)-Datos!BD12)/Datos!BD12," - ")</f>
        <v>0.18027052238805968</v>
      </c>
      <c r="I12" s="515">
        <f>IF(ISNUMBER(((NºAsuntos!I12/NºAsuntos!G12)-Datos!BE12)/Datos!BE12),((NºAsuntos!I12/NºAsuntos!G12)-Datos!BE12)/Datos!BE12," - ")</f>
        <v>-0.22254616132167143</v>
      </c>
      <c r="J12" s="521">
        <f>IF(ISNUMBER((('Resol  Asuntos'!D12/NºAsuntos!G12)-Datos!BF12)/Datos!BF12),(('Resol  Asuntos'!D12/NºAsuntos!G12)-Datos!BF12)/Datos!BF12," - ")</f>
        <v>-0.25541125541125553</v>
      </c>
      <c r="K12" s="522">
        <f>IF(ISNUMBER((((NºAsuntos!C12+NºAsuntos!E12)/NºAsuntos!G12)-Datos!BG12)/Datos!BG12),(((NºAsuntos!C12+NºAsuntos!E12)/NºAsuntos!G12)-Datos!BG12)/Datos!BG12," - ")</f>
        <v>-0.17562574077947424</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7.3825503355704702E-2</v>
      </c>
      <c r="C14" s="1152">
        <f>IF(ISNUMBER(
   IF(J_V="SI",(Datos!J14-Datos!T14)/Datos!T14,(Datos!J14+Datos!Z14-(Datos!T14+Datos!AH14))/(Datos!T14+Datos!AH14))
     ),IF(J_V="SI",(Datos!J14-Datos!T14)/Datos!T14,(Datos!J14+Datos!Z14-(Datos!T14+Datos!AH14))/(Datos!T14+Datos!AH14))," - ")</f>
        <v>0.11618257261410789</v>
      </c>
      <c r="D14" s="1152">
        <f>IF(ISNUMBER(
   IF(J_V="SI",(Datos!K14-Datos!U14)/Datos!U14,(Datos!K14+Datos!AA14-(Datos!U14+Datos!AI14))/(Datos!U14+Datos!AI14))
     ),IF(J_V="SI",(Datos!K14-Datos!U14)/Datos!U14,(Datos!K14+Datos!AA14-(Datos!U14+Datos!AI14))/(Datos!U14+Datos!AI14))," - ")</f>
        <v>0.3125</v>
      </c>
      <c r="E14" s="1152">
        <f>IF(ISNUMBER(
   IF(J_V="SI",(Datos!L14-Datos!V14)/Datos!V14,(Datos!L14+Datos!AB14-(Datos!V14+Datos!AJ14))/(Datos!V14+Datos!AJ14))
     ),IF(J_V="SI",(Datos!L14-Datos!V14)/Datos!V14,(Datos!L14+Datos!AB14-(Datos!V14+Datos!AJ14))/(Datos!V14+Datos!AJ14))," - ")</f>
        <v>2.9411764705882353E-2</v>
      </c>
      <c r="F14" s="1153">
        <f>IF(ISNUMBER((Datos!M14-Datos!W14)/Datos!W14),(Datos!M14-Datos!W14)/Datos!W14," - ")</f>
        <v>0.16216216216216217</v>
      </c>
      <c r="G14" s="1154">
        <f>IF(ISNUMBER((Datos!N14-Datos!X14)/Datos!X14),(Datos!N14-Datos!X14)/Datos!X14," - ")</f>
        <v>1.3636363636363635</v>
      </c>
      <c r="H14" s="1154">
        <f>IF(ISNUMBER(((NºAsuntos!G14/NºAsuntos!E14)-Datos!BD14)/Datos!BD14),((NºAsuntos!G14/NºAsuntos!E14)-Datos!BD14)/Datos!BD14," - ")</f>
        <v>0.17588289962825288</v>
      </c>
      <c r="I14" s="1154">
        <f>IF(ISNUMBER(((NºAsuntos!I14/NºAsuntos!G14)-Datos!BE14)/Datos!BE14),((NºAsuntos!I14/NºAsuntos!G14)-Datos!BE14)/Datos!BE14," - ")</f>
        <v>-0.21568627450980393</v>
      </c>
      <c r="J14" s="1154">
        <f>IF(ISNUMBER((('Resol  Asuntos'!D14/NºAsuntos!G14)-Datos!BF14)/Datos!BF14),(('Resol  Asuntos'!D14/NºAsuntos!G14)-Datos!BF14)/Datos!BF14," - ")</f>
        <v>-0.25541125541125553</v>
      </c>
      <c r="K14" s="1154">
        <f>IF(ISNUMBER((((NºAsuntos!C14+NºAsuntos!E14)/NºAsuntos!G14)-Datos!BG14)/Datos!BG14),(((NºAsuntos!C14+NºAsuntos!E14)/NºAsuntos!G14)-Datos!BG14)/Datos!BG14," - ")</f>
        <v>-0.17054263565891475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6.7796610169491525E-2</v>
      </c>
      <c r="C17" s="515">
        <f>IF(ISNUMBER(
   IF(D_I="SI",(Datos!J17-Datos!T17)/Datos!T17,(Datos!J17+Datos!AD17-(Datos!T17+Datos!AL17))/(Datos!T17+Datos!AL17))
     ),IF(D_I="SI",(Datos!J17-Datos!T17)/Datos!T17,(Datos!J17+Datos!AD17-(Datos!T17+Datos!AL17))/(Datos!T17+Datos!AL17))," - ")</f>
        <v>8.1250000000000003E-2</v>
      </c>
      <c r="D17" s="515">
        <f>IF(ISNUMBER(
   IF(D_I="SI",(Datos!K17-Datos!U17)/Datos!U17,(Datos!K17+Datos!AE17-(Datos!U17+Datos!AM17))/(Datos!U17+Datos!AM17))
     ),IF(D_I="SI",(Datos!K17-Datos!U17)/Datos!U17,(Datos!K17+Datos!AE17-(Datos!U17+Datos!AM17))/(Datos!U17+Datos!AM17))," - ")</f>
        <v>0.30656934306569344</v>
      </c>
      <c r="E17" s="515">
        <f>IF(ISNUMBER(
   IF(D_I="SI",(Datos!L17-Datos!V17)/Datos!V17,(Datos!L17+Datos!AF17-(Datos!V17+Datos!AN17))/(Datos!V17+Datos!AN17))
     ),IF(D_I="SI",(Datos!L17-Datos!V17)/Datos!V17,(Datos!L17+Datos!AF17-(Datos!V17+Datos!AN17))/(Datos!V17+Datos!AN17))," - ")</f>
        <v>-5.6701030927835051E-2</v>
      </c>
      <c r="F17" s="515">
        <f>IF(ISNUMBER((Datos!M17-Datos!W17)/Datos!W17),(Datos!M17-Datos!W17)/Datos!W17," - ")</f>
        <v>0.58823529411764708</v>
      </c>
      <c r="G17" s="516">
        <f>IF(ISNUMBER((Datos!N17-Datos!X17)/Datos!X17),(Datos!N17-Datos!X17)/Datos!X17," - ")</f>
        <v>0.2441860465116279</v>
      </c>
      <c r="H17" s="514">
        <f>IF(ISNUMBER(((NºAsuntos!G17/NºAsuntos!E17)-Datos!BD17)/Datos!BD17),((NºAsuntos!G17/NºAsuntos!E17)-Datos!BD17)/Datos!BD17," - ")</f>
        <v>0.20838783173705769</v>
      </c>
      <c r="I17" s="515">
        <f>IF(ISNUMBER(((NºAsuntos!I17/NºAsuntos!G17)-Datos!BE17)/Datos!BE17),((NºAsuntos!I17/NºAsuntos!G17)-Datos!BE17)/Datos!BE17," - ")</f>
        <v>-0.27803374992800789</v>
      </c>
      <c r="J17" s="521">
        <f>IF(ISNUMBER((('Resol  Asuntos'!D17/NºAsuntos!G17)-Datos!BF17)/Datos!BF17),(('Resol  Asuntos'!D17/NºAsuntos!G17)-Datos!BF17)/Datos!BF17," - ")</f>
        <v>0.21557673348669082</v>
      </c>
      <c r="K17" s="522">
        <f>IF(ISNUMBER((((NºAsuntos!C17+NºAsuntos!E17)/NºAsuntos!G17)-Datos!BG17)/Datos!BG17),(((NºAsuntos!C17+NºAsuntos!E17)/NºAsuntos!G17)-Datos!BG17)/Datos!BG17," - ")</f>
        <v>-0.1778591913532151</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-0.33333333333333331</v>
      </c>
      <c r="D18" s="515">
        <f>IF(ISNUMBER(
   IF(D_I="SI",(Datos!K18-Datos!U18)/Datos!U18,(Datos!K18+Datos!AE18-(Datos!U18+Datos!AM18))/(Datos!U18+Datos!AM18))
     ),IF(D_I="SI",(Datos!K18-Datos!U18)/Datos!U18,(Datos!K18+Datos!AE18-(Datos!U18+Datos!AM18))/(Datos!U18+Datos!AM18))," - ")</f>
        <v>0.16666666666666666</v>
      </c>
      <c r="E18" s="515">
        <f>IF(ISNUMBER(
   IF(D_I="SI",(Datos!L18-Datos!V18)/Datos!V18,(Datos!L18+Datos!AF18-(Datos!V18+Datos!AN18))/(Datos!V18+Datos!AN18))
     ),IF(D_I="SI",(Datos!L18-Datos!V18)/Datos!V18,(Datos!L18+Datos!AF18-(Datos!V18+Datos!AN18))/(Datos!V18+Datos!AN18))," - ")</f>
        <v>-0.4</v>
      </c>
      <c r="F18" s="515" t="str">
        <f>IF(ISNUMBER((Datos!M18-Datos!W18)/Datos!W18),(Datos!M18-Datos!W18)/Datos!W18," - ")</f>
        <v xml:space="preserve"> - </v>
      </c>
      <c r="G18" s="516">
        <f>IF(ISNUMBER((Datos!N18-Datos!X18)/Datos!X18),(Datos!N18-Datos!X18)/Datos!X18," - ")</f>
        <v>1</v>
      </c>
      <c r="H18" s="514">
        <f>IF(ISNUMBER(((NºAsuntos!G18/NºAsuntos!E18)-Datos!BD18)/Datos!BD18),((NºAsuntos!G18/NºAsuntos!E18)-Datos!BD18)/Datos!BD18," - ")</f>
        <v>0.75000000000000022</v>
      </c>
      <c r="I18" s="515">
        <f>IF(ISNUMBER(((NºAsuntos!I18/NºAsuntos!G18)-Datos!BE18)/Datos!BE18),((NºAsuntos!I18/NºAsuntos!G18)-Datos!BE18)/Datos!BE18," - ")</f>
        <v>-0.48571428571428577</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-0.22077922077922074</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8.8397790055248615E-2</v>
      </c>
      <c r="C23" s="1152">
        <f>IF(ISNUMBER(
   IF(Criterios!B14="SI",(Datos!J23-Datos!T23)/Datos!T23,(Datos!J23+Datos!AD23-(Datos!T23+Datos!AL23))/(Datos!T23+Datos!AL23))
     ),IF(Criterios!B14="SI",(Datos!J23-Datos!T23)/Datos!T23,(Datos!J23+Datos!AD23-(Datos!T23+Datos!AL23))/(Datos!T23+Datos!AL23))," - ")</f>
        <v>3.9325842696629212E-2</v>
      </c>
      <c r="D23" s="1152">
        <f>IF(ISNUMBER(
   IF(Criterios!B14="SI",(Datos!K23-Datos!U23)/Datos!U23,(Datos!K23+Datos!AE23-(Datos!U23+Datos!AM23))/(Datos!U23+Datos!AM23))
     ),IF(Criterios!B14="SI",(Datos!K23-Datos!U23)/Datos!U23,(Datos!K23+Datos!AE23-(Datos!U23+Datos!AM23))/(Datos!U23+Datos!AM23))," - ")</f>
        <v>0.29530201342281881</v>
      </c>
      <c r="E23" s="1152">
        <f>IF(ISNUMBER(
   IF(Criterios!B14="SI",(Datos!L23-Datos!V23)/Datos!V23,(Datos!L23+Datos!AF23-(Datos!V23+Datos!AN23))/(Datos!V23+Datos!AN23))
     ),IF(Criterios!B14="SI",(Datos!L23-Datos!V23)/Datos!V23,(Datos!L23+Datos!AF23-(Datos!V23+Datos!AN23))/(Datos!V23+Datos!AN23))," - ")</f>
        <v>-7.3529411764705885E-2</v>
      </c>
      <c r="F23" s="1153">
        <f>IF(ISNUMBER((Datos!M23-Datos!W23)/Datos!W23),(Datos!M23-Datos!W23)/Datos!W23," - ")</f>
        <v>0.82352941176470584</v>
      </c>
      <c r="G23" s="1154">
        <f>IF(ISNUMBER((Datos!N23-Datos!X23)/Datos!X23),(Datos!N23-Datos!X23)/Datos!X23," - ")</f>
        <v>0.2857142857142857</v>
      </c>
      <c r="H23" s="1154">
        <f>IF(ISNUMBER(((NºAsuntos!G23/NºAsuntos!E23)-Datos!BD23)/Datos!BD23),((NºAsuntos!G23/NºAsuntos!E23)-Datos!BD23)/Datos!BD23," - ")</f>
        <v>0.24629058588790126</v>
      </c>
      <c r="I23" s="1154">
        <f>IF(ISNUMBER(((NºAsuntos!I23/NºAsuntos!G23)-Datos!BE23)/Datos!BE23),((NºAsuntos!I23/NºAsuntos!G23)-Datos!BE23)/Datos!BE23," - ")</f>
        <v>-0.28474550441938434</v>
      </c>
      <c r="J23" s="1154">
        <f>IF(ISNUMBER((('Resol  Asuntos'!D23/NºAsuntos!G23)-Datos!BF23)/Datos!BF23),(('Resol  Asuntos'!D23/NºAsuntos!G23)-Datos!BF23)/Datos!BF23," - ")</f>
        <v>0.40780249923803708</v>
      </c>
      <c r="K23" s="1154">
        <f>IF(ISNUMBER((((NºAsuntos!C23+NºAsuntos!E23)/NºAsuntos!G23)-Datos!BG23)/Datos!BG23),(((NºAsuntos!C23+NºAsuntos!E23)/NºAsuntos!G23)-Datos!BG23)/Datos!BG23," - ")</f>
        <v>-0.17851833677313206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7.8025477707006366E-2</v>
      </c>
      <c r="C31" s="1092">
        <f>IF(ISNUMBER(
   IF(J_V="SI",(Datos!J31-Datos!T31)/Datos!T31,(Datos!J31+Datos!Z31-(Datos!T31+Datos!AH31))/(Datos!T31+Datos!AH31))
     ),IF(J_V="SI",(Datos!J31-Datos!T31)/Datos!T31,(Datos!J31+Datos!Z31-(Datos!T31+Datos!AH31))/(Datos!T31+Datos!AH31))," - ")</f>
        <v>8.3532219570405727E-2</v>
      </c>
      <c r="D31" s="1092">
        <f>IF(ISNUMBER(
   IF(J_V="SI",(Datos!K31-Datos!U31)/Datos!U31,(Datos!K31+Datos!AA31-(Datos!U31+Datos!AI31))/(Datos!U31+Datos!AI31))
     ),IF(J_V="SI",(Datos!K31-Datos!U31)/Datos!U31,(Datos!K31+Datos!AA31-(Datos!U31+Datos!AI31))/(Datos!U31+Datos!AI31))," - ")</f>
        <v>0.30375426621160412</v>
      </c>
      <c r="E31" s="1092">
        <f>IF(ISNUMBER(
   IF(J_V="SI",(Datos!L31-Datos!V31)/Datos!V31,(Datos!L31+Datos!AB31-(Datos!V31+Datos!AJ31))/(Datos!V31+Datos!AJ31))
     ),IF(J_V="SI",(Datos!L31-Datos!V31)/Datos!V31,(Datos!L31+Datos!AB31-(Datos!V31+Datos!AJ31))/(Datos!V31+Datos!AJ31))," - ")</f>
        <v>1.3368983957219251E-3</v>
      </c>
      <c r="F31" s="1093">
        <f>IF(ISNUMBER((Datos!M31-Datos!W31)/Datos!W31),(Datos!M31-Datos!W31)/Datos!W31," - ")</f>
        <v>0.37037037037037035</v>
      </c>
      <c r="G31" s="1094">
        <f>IF(ISNUMBER((Datos!N31-Datos!X31)/Datos!X31),(Datos!N31-Datos!X31)/Datos!X31," - ")</f>
        <v>0.63703703703703707</v>
      </c>
      <c r="H31" s="1095">
        <f>IF(ISNUMBER((Tasas!B31-Datos!BD31)/Datos!BD31),(Tasas!B31-Datos!BD31)/Datos!BD31," - ")</f>
        <v>0.20324457608515886</v>
      </c>
      <c r="I31" s="1096">
        <f>IF(ISNUMBER((Tasas!C31-Datos!BE31)/Datos!BE31),(Tasas!C31-Datos!BE31)/Datos!BE31," - ")</f>
        <v>-0.23195887112579436</v>
      </c>
      <c r="J31" s="1097">
        <f>IF(ISNUMBER((Tasas!D31-Datos!BF31)/Datos!BF31),(Tasas!D31-Datos!BF31)/Datos!BF31," - ")</f>
        <v>-6.9521929448115943E-2</v>
      </c>
      <c r="K31" s="1097">
        <f>IF(ISNUMBER((Tasas!E31-Datos!BG31)/Datos!BG31),(Tasas!E31-Datos!BG31)/Datos!BG31," - ")</f>
        <v>-0.17144721642988944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82ktwQUgSPmAxcpBEMgKAdJkEsho2RViCXUNcI5bgx6DgnvnYedZ9mUM8z3y8XZlIj+9Sd4Aw0qKRo28pPXRCA==" saltValue="QZrlwDDXM2tTEi8Kj1f3b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OURENSE</v>
      </c>
    </row>
    <row r="4" spans="1:7" ht="11.25" customHeight="1" thickBot="1">
      <c r="B4" s="439" t="str">
        <f>Criterios!A11 &amp;"  "&amp;Criterios!B11</f>
        <v>Resumenes por Partidos Judiciales  O BARCO DE VALDEORRAS</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0.70522388059701491</v>
      </c>
      <c r="C12" s="498">
        <f>IF(ISNUMBER(NºAsuntos!I12/NºAsuntos!G12),NºAsuntos!I12/NºAsuntos!G12," - ")</f>
        <v>2.9100529100529102</v>
      </c>
      <c r="D12" s="499">
        <f>IF(ISNUMBER('Resol  Asuntos'!D12/NºAsuntos!G12),'Resol  Asuntos'!D12/NºAsuntos!G12," - ")</f>
        <v>0.2275132275132275</v>
      </c>
      <c r="E12" s="500">
        <f>IF(ISNUMBER((NºAsuntos!C12+NºAsuntos!E12)/NºAsuntos!G12),(NºAsuntos!C12+NºAsuntos!E12)/NºAsuntos!G12," - ")</f>
        <v>3.9100529100529102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0.70260223048327142</v>
      </c>
      <c r="C14" s="1156">
        <f>IF(ISNUMBER(NºAsuntos!I14/NºAsuntos!G14),NºAsuntos!I14/NºAsuntos!G14," - ")</f>
        <v>2.9629629629629628</v>
      </c>
      <c r="D14" s="1157">
        <f>IF(ISNUMBER('Resol  Asuntos'!D14/NºAsuntos!G14),'Resol  Asuntos'!D14/NºAsuntos!G14," - ")</f>
        <v>0.2275132275132275</v>
      </c>
      <c r="E14" s="1158">
        <f>IF(ISNUMBER((NºAsuntos!C14+NºAsuntos!E14)/NºAsuntos!G14),(NºAsuntos!C14+NºAsuntos!E14)/NºAsuntos!G14," - ")</f>
        <v>3.9629629629629628</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1.0346820809248556</v>
      </c>
      <c r="C17" s="498">
        <f>IF(ISNUMBER(NºAsuntos!I17/NºAsuntos!G17),NºAsuntos!I17/NºAsuntos!G17," - ")</f>
        <v>1.0223463687150838</v>
      </c>
      <c r="D17" s="499">
        <f>IF(ISNUMBER('Resol  Asuntos'!D17/NºAsuntos!G17),'Resol  Asuntos'!D17/NºAsuntos!G17," - ")</f>
        <v>0.15083798882681565</v>
      </c>
      <c r="E17" s="500">
        <f>IF(ISNUMBER((NºAsuntos!C17+NºAsuntos!E17)/NºAsuntos!G17),(NºAsuntos!C17+NºAsuntos!E17)/NºAsuntos!G17," - ")</f>
        <v>2.022346368715084</v>
      </c>
      <c r="G17" s="523"/>
    </row>
    <row r="18" spans="1:7">
      <c r="A18" s="450" t="str">
        <f>Datos!A18</f>
        <v>Jdos. Violencia contra la mujer</v>
      </c>
      <c r="B18" s="497">
        <f>IF(ISNUMBER(NºAsuntos!G18/NºAsuntos!E18),NºAsuntos!G18/NºAsuntos!E18," - ")</f>
        <v>1.1666666666666667</v>
      </c>
      <c r="C18" s="498">
        <f>IF(ISNUMBER(NºAsuntos!I18/NºAsuntos!G18),NºAsuntos!I18/NºAsuntos!G18," - ")</f>
        <v>0.42857142857142855</v>
      </c>
      <c r="D18" s="499">
        <f>IF(ISNUMBER('Resol  Asuntos'!D18/NºAsuntos!G18),'Resol  Asuntos'!D18/NºAsuntos!G18," - ")</f>
        <v>0.2857142857142857</v>
      </c>
      <c r="E18" s="500">
        <f>IF(ISNUMBER((NºAsuntos!C18+NºAsuntos!E18)/NºAsuntos!G18),(NºAsuntos!C18+NºAsuntos!E18)/NºAsuntos!G18," - ")</f>
        <v>1.4285714285714286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1.0432432432432432</v>
      </c>
      <c r="C23" s="1156">
        <f>IF(ISNUMBER(NºAsuntos!I23/NºAsuntos!G23),NºAsuntos!I23/NºAsuntos!G23," - ")</f>
        <v>0.97927461139896377</v>
      </c>
      <c r="D23" s="1159">
        <f>IF(ISNUMBER('Resol  Asuntos'!D23/NºAsuntos!G23),'Resol  Asuntos'!D23/NºAsuntos!G23," - ")</f>
        <v>0.16062176165803108</v>
      </c>
      <c r="E23" s="1158">
        <f>IF(ISNUMBER((NºAsuntos!C23+NºAsuntos!E23)/NºAsuntos!G23),(NºAsuntos!C23+NºAsuntos!E23)/NºAsuntos!G23," - ")</f>
        <v>1.9792746113989637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0.84140969162995594</v>
      </c>
      <c r="C31" s="1099">
        <f>IF(ISNUMBER(NºAsuntos!I31/NºAsuntos!G31),NºAsuntos!I31/NºAsuntos!G31," - ")</f>
        <v>1.9607329842931938</v>
      </c>
      <c r="D31" s="1100">
        <f>IF(ISNUMBER('Resol  Asuntos'!D31/NºAsuntos!G31),'Resol  Asuntos'!D31/NºAsuntos!G31," - ")</f>
        <v>0.193717277486911</v>
      </c>
      <c r="E31" s="1101">
        <f>IF(ISNUMBER((NºAsuntos!C31+NºAsuntos!E31)/NºAsuntos!G31),(NºAsuntos!C31+NºAsuntos!E31)/NºAsuntos!G31," - ")</f>
        <v>2.9607329842931938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Av65Gq0ESb0FZB8VEJPqIqg4JBFR6ykXl6rcK2q1fFGvNTXP+G8mI2WJtDN0Ey2sH2CD/KUK/3rNa5PfZlgyA==" saltValue="r3nwBok1E3Ptvux7Q+HM6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OURENSE</v>
      </c>
      <c r="N2" s="368" t="str">
        <f>Criterios!A11 &amp;"  "&amp;Criterios!B11</f>
        <v>Resumenes por Partidos Judiciales  O BARCO DE VALDEORRAS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42</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27</v>
      </c>
      <c r="Y12" s="374">
        <f t="shared" si="0"/>
        <v>27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787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43</v>
      </c>
      <c r="AJ12" s="243" t="str">
        <f>IF(ISNUMBER(Datos!BW12),Datos!BW12," - ")</f>
        <v xml:space="preserve"> - </v>
      </c>
      <c r="AK12" s="242" t="str">
        <f>IF(ISNUMBER(Datos!BX12),Datos!BX12," - ")</f>
        <v xml:space="preserve"> - </v>
      </c>
      <c r="AL12" s="266">
        <f>IF(ISNUMBER(NºAsuntos!G12/NºAsuntos!E12),NºAsuntos!G12/NºAsuntos!E12," - ")</f>
        <v>0.70522388059701491</v>
      </c>
      <c r="AM12" s="284">
        <f>IF(ISNUMBER(((NºAsuntos!I12/NºAsuntos!G12)*11)/factor_trimestre),((NºAsuntos!I12/NºAsuntos!G12)*11)/factor_trimestre," - ")</f>
        <v>5.8201058201058204</v>
      </c>
      <c r="AN12" s="267">
        <f>IF(ISNUMBER('Resol  Asuntos'!D12/NºAsuntos!G12),'Resol  Asuntos'!D12/NºAsuntos!G12," - ")</f>
        <v>0.2275132275132275</v>
      </c>
      <c r="AO12" s="268">
        <f>IF(ISNUMBER((NºAsuntos!C12+NºAsuntos!E12)/NºAsuntos!G12),(NºAsuntos!C12+NºAsuntos!E12)/NºAsuntos!G12," - ")</f>
        <v>3.9100529100529102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9</v>
      </c>
      <c r="G14" s="1163">
        <f t="shared" si="5"/>
        <v>9</v>
      </c>
      <c r="H14" s="1162">
        <f t="shared" si="5"/>
        <v>0</v>
      </c>
      <c r="I14" s="1164">
        <f t="shared" si="5"/>
        <v>0</v>
      </c>
      <c r="J14" s="1164">
        <f t="shared" si="5"/>
        <v>0</v>
      </c>
      <c r="K14" s="1164">
        <f t="shared" si="5"/>
        <v>0</v>
      </c>
      <c r="L14" s="1164">
        <f t="shared" si="5"/>
        <v>42</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27</v>
      </c>
      <c r="Y14" s="1165">
        <f t="shared" si="6"/>
        <v>27</v>
      </c>
      <c r="Z14" s="1165">
        <f t="shared" si="6"/>
        <v>0</v>
      </c>
      <c r="AA14" s="1165">
        <f t="shared" si="6"/>
        <v>10</v>
      </c>
      <c r="AB14" s="1165">
        <f t="shared" si="6"/>
        <v>787</v>
      </c>
      <c r="AC14" s="1165">
        <f t="shared" si="6"/>
        <v>10</v>
      </c>
      <c r="AD14" s="1165">
        <f t="shared" si="6"/>
        <v>0</v>
      </c>
      <c r="AE14" s="1169">
        <f t="shared" si="6"/>
        <v>0</v>
      </c>
      <c r="AF14" s="1162">
        <f t="shared" si="6"/>
        <v>0</v>
      </c>
      <c r="AG14" s="1170">
        <f t="shared" si="6"/>
        <v>0</v>
      </c>
      <c r="AH14" s="1167">
        <f t="shared" si="6"/>
        <v>0</v>
      </c>
      <c r="AI14" s="1162">
        <f t="shared" si="6"/>
        <v>43</v>
      </c>
      <c r="AJ14" s="1164">
        <f t="shared" si="6"/>
        <v>0</v>
      </c>
      <c r="AK14" s="1167">
        <f>SUBTOTAL(9,AK9:AK13)</f>
        <v>0</v>
      </c>
      <c r="AL14" s="1171">
        <f>IF(ISNUMBER(NºAsuntos!G14/NºAsuntos!E14),NºAsuntos!G14/NºAsuntos!E14," - ")</f>
        <v>0.70260223048327142</v>
      </c>
      <c r="AM14" s="1171">
        <f>IF(ISNUMBER(((NºAsuntos!I14/NºAsuntos!G14)*11)/factor_trimestre),((NºAsuntos!I14/NºAsuntos!G14)*11)/factor_trimestre," - ")</f>
        <v>5.9259259259259247</v>
      </c>
      <c r="AN14" s="1172">
        <f>IF(ISNUMBER('Resol  Asuntos'!D14/NºAsuntos!G14),'Resol  Asuntos'!D14/NºAsuntos!G14," - ")</f>
        <v>0.2275132275132275</v>
      </c>
      <c r="AO14" s="1173">
        <f>IF(ISNUMBER((NºAsuntos!C14+NºAsuntos!E14)/NºAsuntos!G14),(NºAsuntos!C14+NºAsuntos!E14)/NºAsuntos!G14," - ")</f>
        <v>3.9629629629629628</v>
      </c>
      <c r="AP14" s="1174" t="str">
        <f t="shared" si="2"/>
        <v xml:space="preserve"> - </v>
      </c>
      <c r="AQ14" s="1174">
        <f>IF(ISNUMBER((H14-W14+K14)/(F14)),(H14-W14+K14)/(F14)," - ")</f>
        <v>0</v>
      </c>
      <c r="AR14" s="1175">
        <f>IF(ISNUMBER((Datos!P14-Datos!Q14)/(Datos!R14-Datos!P14+Datos!Q14)),(Datos!P14-Datos!Q14)/(Datos!R14-Datos!P14+Datos!Q14)," - ")</f>
        <v>1.9430051813471502E-2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189</v>
      </c>
      <c r="G17" s="373">
        <f>IF(ISNUMBER(IF(D_I="SI",Datos!I17,Datos!I17+Datos!AC17)),IF(D_I="SI",Datos!I17,Datos!I17+Datos!AC17)," - ")</f>
        <v>189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9</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179</v>
      </c>
      <c r="X17" s="240">
        <f>IF(ISNUMBER(Datos!Q17),Datos!Q17," - ")</f>
        <v>4</v>
      </c>
      <c r="Y17" s="374">
        <f t="shared" ref="Y17:Y22" si="9">SUM(W17:X17)</f>
        <v>183</v>
      </c>
      <c r="Z17" s="375" t="str">
        <f>IF(ISNUMBER(Datos!CC17),Datos!CC17," - ")</f>
        <v xml:space="preserve"> - </v>
      </c>
      <c r="AA17" s="372">
        <f>IF(ISNUMBER(IF(D_I="SI",Datos!L17,Datos!L17+Datos!AF17)),IF(D_I="SI",Datos!L17,Datos!L17+Datos!AF17)," - ")</f>
        <v>183</v>
      </c>
      <c r="AB17" s="374">
        <f>IF(ISNUMBER(Datos!R17),Datos!R17," - ")</f>
        <v>35</v>
      </c>
      <c r="AC17" s="374">
        <f t="shared" si="8"/>
        <v>218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27</v>
      </c>
      <c r="AJ17" s="245" t="str">
        <f>IF(ISNUMBER(Datos!BW17),Datos!BW17," - ")</f>
        <v xml:space="preserve"> - </v>
      </c>
      <c r="AK17" s="246" t="str">
        <f>IF(ISNUMBER(Datos!BX17),Datos!BX17," - ")</f>
        <v xml:space="preserve"> - </v>
      </c>
      <c r="AL17" s="266">
        <f>IF(ISNUMBER(NºAsuntos!G17/NºAsuntos!E17),NºAsuntos!G17/NºAsuntos!E17," - ")</f>
        <v>1.0346820809248556</v>
      </c>
      <c r="AM17" s="284">
        <f>IF(ISNUMBER(((NºAsuntos!I17/NºAsuntos!G17)*11)/factor_trimestre),((NºAsuntos!I17/NºAsuntos!G17)*11)/factor_trimestre," - ")</f>
        <v>2.0446927374301676</v>
      </c>
      <c r="AN17" s="267">
        <f>IF(ISNUMBER('Resol  Asuntos'!D17/NºAsuntos!G17),'Resol  Asuntos'!D17/NºAsuntos!G17," - ")</f>
        <v>0.15083798882681565</v>
      </c>
      <c r="AO17" s="268">
        <f>IF(ISNUMBER((NºAsuntos!C17+NºAsuntos!E17)/NºAsuntos!G17),(NºAsuntos!C17+NºAsuntos!E17)/NºAsuntos!G17," - ")</f>
        <v>2.022346368715084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14</v>
      </c>
      <c r="X18" s="240">
        <f>IF(ISNUMBER(Datos!Q18),Datos!Q18," - ")</f>
        <v>0</v>
      </c>
      <c r="Y18" s="374">
        <f t="shared" si="9"/>
        <v>14</v>
      </c>
      <c r="Z18" s="375" t="str">
        <f>IF(ISNUMBER(Datos!CC18),Datos!CC18," - ")</f>
        <v xml:space="preserve"> - </v>
      </c>
      <c r="AA18" s="372">
        <f>IF(ISNUMBER(Datos!L18),Datos!L18,"-")</f>
        <v>6</v>
      </c>
      <c r="AB18" s="374">
        <f>IF(ISNUMBER(Datos!R18),Datos!R18," - ")</f>
        <v>2</v>
      </c>
      <c r="AC18" s="374">
        <f t="shared" si="8"/>
        <v>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1.1666666666666667</v>
      </c>
      <c r="AM18" s="284">
        <f>IF(ISNUMBER(((NºAsuntos!I18/NºAsuntos!G18)*11)/factor_trimestre),((NºAsuntos!I18/NºAsuntos!G18)*11)/factor_trimestre," - ")</f>
        <v>0.85714285714285721</v>
      </c>
      <c r="AN18" s="267">
        <f>IF(ISNUMBER('Resol  Asuntos'!D18/NºAsuntos!G18),'Resol  Asuntos'!D18/NºAsuntos!G18," - ")</f>
        <v>0.2857142857142857</v>
      </c>
      <c r="AO18" s="268">
        <f>IF(ISNUMBER((NºAsuntos!C18+NºAsuntos!E18)/NºAsuntos!G18),(NºAsuntos!C18+NºAsuntos!E18)/NºAsuntos!G18," - ")</f>
        <v>1.4285714285714286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189</v>
      </c>
      <c r="G23" s="1163">
        <f>SUBTOTAL(9,G16:G22)</f>
        <v>197</v>
      </c>
      <c r="H23" s="1162">
        <f t="shared" ref="H23:O23" si="13">SUBTOTAL(9,H15:H22)</f>
        <v>0</v>
      </c>
      <c r="I23" s="1164">
        <f t="shared" si="13"/>
        <v>0</v>
      </c>
      <c r="J23" s="1164">
        <f t="shared" si="13"/>
        <v>0</v>
      </c>
      <c r="K23" s="1164">
        <f t="shared" si="13"/>
        <v>0</v>
      </c>
      <c r="L23" s="1164">
        <f t="shared" si="13"/>
        <v>9</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193</v>
      </c>
      <c r="X23" s="1164">
        <f t="shared" si="14"/>
        <v>4</v>
      </c>
      <c r="Y23" s="1165">
        <f t="shared" si="14"/>
        <v>197</v>
      </c>
      <c r="Z23" s="1165">
        <f t="shared" si="14"/>
        <v>0</v>
      </c>
      <c r="AA23" s="1165">
        <f t="shared" si="14"/>
        <v>189</v>
      </c>
      <c r="AB23" s="1165">
        <f t="shared" si="14"/>
        <v>37</v>
      </c>
      <c r="AC23" s="1165">
        <f t="shared" si="14"/>
        <v>226</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1.0432432432432432</v>
      </c>
      <c r="AM23" s="1171">
        <f>IF(ISNUMBER(((NºAsuntos!I23/NºAsuntos!G23)*11)/factor_trimestre),((NºAsuntos!I23/NºAsuntos!G23)*11)/factor_trimestre," - ")</f>
        <v>1.9585492227979275</v>
      </c>
      <c r="AN23" s="1172">
        <f>IF(ISNUMBER('Resol  Asuntos'!D23/NºAsuntos!G23),'Resol  Asuntos'!D23/NºAsuntos!G23," - ")</f>
        <v>0.16062176165803108</v>
      </c>
      <c r="AO23" s="1173">
        <f>IF(ISNUMBER((NºAsuntos!C23+NºAsuntos!E23)/NºAsuntos!G23),(NºAsuntos!C23+NºAsuntos!E23)/NºAsuntos!G23," - ")</f>
        <v>1.9792746113989637</v>
      </c>
      <c r="AP23" s="1174" t="str">
        <f t="shared" si="2"/>
        <v xml:space="preserve"> - </v>
      </c>
      <c r="AQ23" s="1174">
        <f>IF(ISNUMBER((H23-W23+K23)/(F23)),(H23-W23+K23)/(F23)," - ")</f>
        <v>-1.0211640211640212</v>
      </c>
      <c r="AR23" s="1175">
        <f>IF(ISNUMBER((Datos!P23-Datos!Q23)/(Datos!R23-Datos!P23+Datos!Q23)),(Datos!P23-Datos!Q23)/(Datos!R23-Datos!P23+Datos!Q23)," - ")</f>
        <v>0.15625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198</v>
      </c>
      <c r="G31" s="1118">
        <f t="shared" si="20"/>
        <v>206</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193</v>
      </c>
      <c r="X31" s="1118">
        <f t="shared" si="21"/>
        <v>31</v>
      </c>
      <c r="Y31" s="1125">
        <f t="shared" si="21"/>
        <v>224</v>
      </c>
      <c r="Z31" s="1125">
        <f t="shared" si="21"/>
        <v>0</v>
      </c>
      <c r="AA31" s="1125">
        <f t="shared" si="21"/>
        <v>199</v>
      </c>
      <c r="AB31" s="1125">
        <f t="shared" si="21"/>
        <v>824</v>
      </c>
      <c r="AC31" s="1125">
        <f t="shared" si="21"/>
        <v>236</v>
      </c>
      <c r="AD31" s="1125">
        <f t="shared" si="21"/>
        <v>0</v>
      </c>
      <c r="AE31" s="1127">
        <f t="shared" si="21"/>
        <v>0</v>
      </c>
      <c r="AF31" s="1128">
        <f t="shared" si="21"/>
        <v>0</v>
      </c>
      <c r="AG31" s="1129">
        <f t="shared" si="21"/>
        <v>0</v>
      </c>
      <c r="AH31" s="1127">
        <f t="shared" si="21"/>
        <v>0</v>
      </c>
      <c r="AI31" s="1117">
        <f t="shared" si="21"/>
        <v>74</v>
      </c>
      <c r="AJ31" s="1117">
        <f t="shared" si="21"/>
        <v>0</v>
      </c>
      <c r="AK31" s="1127">
        <f t="shared" si="21"/>
        <v>0</v>
      </c>
      <c r="AL31" s="1183">
        <f>IF(ISNUMBER(NºAsuntos!G31/NºAsuntos!E31),NºAsuntos!G31/NºAsuntos!E31," - ")</f>
        <v>0.84140969162995594</v>
      </c>
      <c r="AM31" s="1184">
        <f>IF(ISNUMBER(((NºAsuntos!I31/NºAsuntos!G31)*11)/factor_trimestre),((NºAsuntos!I31/NºAsuntos!G31)*11)/factor_trimestre," - ")</f>
        <v>3.9214659685863875</v>
      </c>
      <c r="AN31" s="1184">
        <f>IF(ISNUMBER('Resol  Asuntos'!D31/NºAsuntos!G31),'Resol  Asuntos'!D31/NºAsuntos!G31," - ")</f>
        <v>0.193717277486911</v>
      </c>
      <c r="AO31" s="1185">
        <f>IF(ISNUMBER((NºAsuntos!C31+NºAsuntos!E31)/NºAsuntos!G31),(NºAsuntos!C31+NºAsuntos!E31)/NºAsuntos!G31," - ")</f>
        <v>2.9607329842931938</v>
      </c>
      <c r="AP31" s="1186" t="str">
        <f t="shared" si="2"/>
        <v xml:space="preserve"> - </v>
      </c>
      <c r="AQ31" s="1187">
        <f>IF(OR(ISNUMBER(FIND("01",Criterios!A8,1)),ISNUMBER(FIND("02",Criterios!A8,1)),ISNUMBER(FIND("03",Criterios!A8,1)),ISNUMBER(FIND("04",Criterios!A8,1))),(I31-W31+K31)/(F31-K31),(H31-W31+K31)/(F31-K31))</f>
        <v>-0.9747474747474747</v>
      </c>
      <c r="AR31" s="1188">
        <f>IF(ISNUMBER((Datos!P31-Datos!Q31)/(Datos!R31-Datos!P31+Datos!Q31)),(Datos!P31-Datos!Q31)/(Datos!R31-Datos!P31+Datos!Q31)," - ")</f>
        <v>2.4875621890547265E-2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58.857142857142854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95.360369126802354</v>
      </c>
      <c r="G33" s="277">
        <f>IF(ISNUMBER(STDEV(G8:G30)),STDEV(G8:G30),"-")</f>
        <v>91.748621372800613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89.62966133192846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19.51556155628484</v>
      </c>
      <c r="AJ33" s="276">
        <f t="shared" si="25"/>
        <v>0</v>
      </c>
      <c r="AK33" s="278">
        <f t="shared" si="25"/>
        <v>0</v>
      </c>
      <c r="AL33" s="273">
        <f t="shared" si="25"/>
        <v>0.425094381946101</v>
      </c>
      <c r="AM33" s="274">
        <f t="shared" si="25"/>
        <v>2.3762887528408991</v>
      </c>
      <c r="AN33" s="274">
        <f t="shared" si="25"/>
        <v>5.5415396986239644E-2</v>
      </c>
      <c r="AO33" s="275">
        <f t="shared" si="25"/>
        <v>1.1881443764204493</v>
      </c>
      <c r="AP33" s="317" t="str">
        <f t="shared" si="25"/>
        <v>-</v>
      </c>
      <c r="AQ33" s="318">
        <f t="shared" si="25"/>
        <v>0.72207200406880245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aL/gCBjVzxrY5E3w/nT0W6cZwq3DrfArXfDYPoe6uK1ylvdJsdVLLQqhWAa1WPlCoACPqLqZrlHMDAUdgdGG4w==" saltValue="LPRekgwbf8dLPacXzsaHO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OURENSE</v>
      </c>
      <c r="E3" s="287"/>
    </row>
    <row r="4" spans="2:20" ht="17.25" customHeight="1" thickBot="1">
      <c r="D4" s="286" t="str">
        <f>Criterios!A11 &amp;"  "&amp;Criterios!B11</f>
        <v>Resumenes por Partidos Judiciales  O BARCO DE VALDEORRAS</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0.8</v>
      </c>
      <c r="E10" s="393" t="str">
        <f>IF(ISNUMBER((Datos!J10-Datos!T10)/Datos!T10),(Datos!J10-Datos!T10)/Datos!T10," - ")</f>
        <v xml:space="preserve"> - </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0.16216216216216217</v>
      </c>
      <c r="I12" s="395">
        <f>IF(ISNUMBER((Tasas!C12-Datos!BE12)/Datos!BE12),(Tasas!C12-Datos!BE12)/Datos!BE12," - ")</f>
        <v>-0.22254616132167143</v>
      </c>
      <c r="J12" s="394">
        <f>IF(ISNUMBER((Tasas!D12-Datos!BF12)/Datos!BF12),(Tasas!D12-Datos!BF12)/Datos!BF12," - ")</f>
        <v>-0.25541125541125553</v>
      </c>
      <c r="K12" s="396">
        <f>IF(ISNUMBER((Tasas!E12-Datos!BG12)/Datos!BG12),(Tasas!E12-Datos!BG12)/Datos!BG12," - ")</f>
        <v>-0.17562574077947424</v>
      </c>
      <c r="M12" t="e">
        <f>IF(Monitorios="SI",Datos!CE12,0)</f>
        <v>#REF!</v>
      </c>
      <c r="N12" t="e">
        <f>IF(Monitorios="SI",Datos!CF12,0)</f>
        <v>#REF!</v>
      </c>
      <c r="O12" t="e">
        <f>IF(Monitorios="SI",Datos!CG12,0)</f>
        <v>#REF!</v>
      </c>
      <c r="P12" t="e">
        <f>IF(Monitorios="SI",Datos!CH12,0)</f>
        <v>#REF!</v>
      </c>
      <c r="Q12">
        <f>IF(J_V="SI",0,Datos!AG12)</f>
        <v>93</v>
      </c>
      <c r="R12">
        <f>IF(J_V="SI",0,Datos!AH12)</f>
        <v>73</v>
      </c>
      <c r="S12">
        <f>IF(J_V="SI",0,Datos!AI12)</f>
        <v>24</v>
      </c>
      <c r="T12">
        <f>IF(J_V="SI",0,Datos!AJ12)</f>
        <v>142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0.16216216216216217</v>
      </c>
      <c r="I14" s="402">
        <f>IF(ISNUMBER((Tasas!C14-Datos!BE14)/Datos!BE14),(Tasas!C14-Datos!BE14)/Datos!BE14," - ")</f>
        <v>-0.21568627450980393</v>
      </c>
      <c r="J14" s="400">
        <f>IF(ISNUMBER((Tasas!D14-Datos!BF14)/Datos!BF14),(Tasas!D14-Datos!BF14)/Datos!BF14," - ")</f>
        <v>-0.25541125541125553</v>
      </c>
      <c r="K14" s="403">
        <f>IF(ISNUMBER((Tasas!E14-Datos!BG14)/Datos!BG14),(Tasas!E14-Datos!BG14)/Datos!BG14," - ")</f>
        <v>-0.17054263565891475</v>
      </c>
      <c r="M14" t="e">
        <f>IF(Monitorios="SI",Datos!CE14,0)</f>
        <v>#REF!</v>
      </c>
      <c r="N14" t="e">
        <f>IF(Monitorios="SI",Datos!CF14,0)</f>
        <v>#REF!</v>
      </c>
      <c r="O14" t="e">
        <f>IF(Monitorios="SI",Datos!CG14,0)</f>
        <v>#REF!</v>
      </c>
      <c r="P14" t="e">
        <f>IF(Monitorios="SI",Datos!CH14,0)</f>
        <v>#REF!</v>
      </c>
      <c r="Q14">
        <f>IF(J_V="SI",0,Datos!AG14)</f>
        <v>93</v>
      </c>
      <c r="R14">
        <f>IF(J_V="SI",0,Datos!AH14)</f>
        <v>73</v>
      </c>
      <c r="S14">
        <f>IF(J_V="SI",0,Datos!AI14)</f>
        <v>24</v>
      </c>
      <c r="T14">
        <f>IF(J_V="SI",0,Datos!AJ14)</f>
        <v>142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6.7796610169491525E-2</v>
      </c>
      <c r="E17" s="393">
        <f>IF(ISNUMBER(
   IF(D_I="SI",(Datos!J17-Datos!T17)/Datos!T17,(Datos!J17+Datos!AD17-(Datos!T17+Datos!AL17))/(Datos!T17+Datos!AL17))
     ),IF(D_I="SI",(Datos!J17-Datos!T17)/Datos!T17,(Datos!J17+Datos!AD17-(Datos!T17+Datos!AL17))/(Datos!T17+Datos!AL17))," - ")</f>
        <v>8.1250000000000003E-2</v>
      </c>
      <c r="F17" s="393">
        <f>IF(ISNUMBER(
   IF(D_I="SI",(Datos!K17-Datos!U17)/Datos!U17,(Datos!K17+Datos!AE17-(Datos!U17+Datos!AM17))/(Datos!U17+Datos!AM17))
     ),IF(D_I="SI",(Datos!K17-Datos!U17)/Datos!U17,(Datos!K17+Datos!AE17-(Datos!U17+Datos!AM17))/(Datos!U17+Datos!AM17))," - ")</f>
        <v>0.30656934306569344</v>
      </c>
      <c r="G17" s="394">
        <f>IF(ISNUMBER(
   IF(D_I="SI",(Datos!L17-Datos!V17)/Datos!V17,(Datos!L17+Datos!AF17-(Datos!V17+Datos!AN17))/(Datos!V17+Datos!AN17))
     ),IF(D_I="SI",(Datos!L17-Datos!V17)/Datos!V17,(Datos!L17+Datos!AF17-(Datos!V17+Datos!AN17))/(Datos!V17+Datos!AN17))," - ")</f>
        <v>-5.6701030927835051E-2</v>
      </c>
      <c r="H17" s="244">
        <f>IF(ISNUMBER((Datos!M17-Datos!W17)/Datos!W17),(Datos!M17-Datos!W17)/Datos!W17," - ")</f>
        <v>0.58823529411764708</v>
      </c>
      <c r="I17" s="395">
        <f>IF(ISNUMBER((Tasas!C17-Datos!BE17)/Datos!BE17),(Tasas!C17-Datos!BE17)/Datos!BE17," - ")</f>
        <v>-0.27803374992800789</v>
      </c>
      <c r="J17" s="394">
        <f>IF(ISNUMBER((Tasas!D17-Datos!BF17)/Datos!BF17),(Tasas!D17-Datos!BF17)/Datos!BF17," - ")</f>
        <v>0.21557673348669082</v>
      </c>
      <c r="K17" s="396">
        <f>IF(ISNUMBER((Tasas!E17-Datos!BG17)/Datos!BG17),(Tasas!E17-Datos!BG17)/Datos!BG17," - ")</f>
        <v>-0.1778591913532151</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-0.33333333333333331</v>
      </c>
      <c r="F18" s="393">
        <f>IF(ISNUMBER(
   IF(D_I="SI",(Datos!K18-Datos!U18)/Datos!U18,(Datos!K18+Datos!AE18-(Datos!U18+Datos!AM18))/(Datos!U18+Datos!AM18))
     ),IF(D_I="SI",(Datos!K18-Datos!U18)/Datos!U18,(Datos!K18+Datos!AE18-(Datos!U18+Datos!AM18))/(Datos!U18+Datos!AM18))," - ")</f>
        <v>0.16666666666666666</v>
      </c>
      <c r="G18" s="394">
        <f>IF(ISNUMBER(
   IF(D_I="SI",(Datos!L18-Datos!V18)/Datos!V18,(Datos!L18+Datos!AF18-(Datos!V18+Datos!AN18))/(Datos!V18+Datos!AN18))
     ),IF(D_I="SI",(Datos!L18-Datos!V18)/Datos!V18,(Datos!L18+Datos!AF18-(Datos!V18+Datos!AN18))/(Datos!V18+Datos!AN18))," - ")</f>
        <v>-0.4</v>
      </c>
      <c r="H18" s="244" t="str">
        <f>IF(ISNUMBER((Datos!M18-Datos!W18)/Datos!W18),(Datos!M18-Datos!W18)/Datos!W18," - ")</f>
        <v xml:space="preserve"> - </v>
      </c>
      <c r="I18" s="395">
        <f>IF(ISNUMBER((Tasas!C18-Datos!BE18)/Datos!BE18),(Tasas!C18-Datos!BE18)/Datos!BE18," - ")</f>
        <v>-0.48571428571428577</v>
      </c>
      <c r="J18" s="394" t="str">
        <f>IF(ISNUMBER((Tasas!D18-Datos!BF18)/Datos!BF18),(Tasas!D18-Datos!BF18)/Datos!BF18," - ")</f>
        <v xml:space="preserve"> - </v>
      </c>
      <c r="K18" s="396">
        <f>IF(ISNUMBER((Tasas!E18-Datos!BG18)/Datos!BG18),(Tasas!E18-Datos!BG18)/Datos!BG18," - ")</f>
        <v>-0.22077922077922074</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8.8397790055248615E-2</v>
      </c>
      <c r="E23" s="399">
        <f>IF(ISNUMBER(
   IF(D_I="SI",(Datos!J23-Datos!T23)/Datos!T23,(Datos!J23+Datos!AD23-(Datos!T23+Datos!AL23))/(Datos!T23+Datos!AL23))
     ),IF(D_I="SI",(Datos!J23-Datos!T23)/Datos!T23,(Datos!J23+Datos!AD23-(Datos!T23+Datos!AL23))/(Datos!T23+Datos!AL23))," - ")</f>
        <v>3.9325842696629212E-2</v>
      </c>
      <c r="F23" s="399">
        <f>IF(ISNUMBER(
   IF(D_I="SI",(Datos!K23-Datos!U23)/Datos!U23,(Datos!K23+Datos!AE23-(Datos!U23+Datos!AM23))/(Datos!U23+Datos!AM23))
     ),IF(D_I="SI",(Datos!K23-Datos!U23)/Datos!U23,(Datos!K23+Datos!AE23-(Datos!U23+Datos!AM23))/(Datos!U23+Datos!AM23))," - ")</f>
        <v>0.29530201342281881</v>
      </c>
      <c r="G23" s="400">
        <f>IF(ISNUMBER(
   IF(D_I="SI",(Datos!L23-Datos!V23)/Datos!V23,(Datos!L23+Datos!AF23-(Datos!V23+Datos!AN23))/(Datos!V23+Datos!AN23))
     ),IF(D_I="SI",(Datos!L23-Datos!V23)/Datos!V23,(Datos!L23+Datos!AF23-(Datos!V23+Datos!AN23))/(Datos!V23+Datos!AN23))," - ")</f>
        <v>-7.3529411764705885E-2</v>
      </c>
      <c r="H23" s="401">
        <f>IF(ISNUMBER((Datos!M23-Datos!W23)/Datos!W23),(Datos!M23-Datos!W23)/Datos!W23," - ")</f>
        <v>0.82352941176470584</v>
      </c>
      <c r="I23" s="402">
        <f>IF(ISNUMBER((Tasas!C23-Datos!BE23)/Datos!BE23),(Tasas!C23-Datos!BE23)/Datos!BE23," - ")</f>
        <v>-0.28474550441938434</v>
      </c>
      <c r="J23" s="400">
        <f>IF(ISNUMBER((Tasas!D23-Datos!BF23)/Datos!BF23),(Tasas!D23-Datos!BF23)/Datos!BF23," - ")</f>
        <v>0.40780249923803708</v>
      </c>
      <c r="K23" s="403">
        <f>IF(ISNUMBER((Tasas!E23-Datos!BG23)/Datos!BG23),(Tasas!E23-Datos!BG23)/Datos!BG23," - ")</f>
        <v>-0.17851833677313206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7.8025477707006366E-2</v>
      </c>
      <c r="E31" s="409">
        <f>IF(ISNUMBER(
   IF(J_V="SI",(Datos!J31-Datos!T31)/Datos!T31,(Datos!J31+Datos!Z31-(Datos!T31+Datos!AH31))/(Datos!T31+Datos!AH31))
     ),IF(J_V="SI",(Datos!J31-Datos!T31)/Datos!T31,(Datos!J31+Datos!Z31-(Datos!T31+Datos!AH31))/(Datos!T31+Datos!AH31))," - ")</f>
        <v>8.3532219570405727E-2</v>
      </c>
      <c r="F31" s="409">
        <f>IF(ISNUMBER(
   IF(J_V="SI",(Datos!K31-Datos!U31)/Datos!U31,(Datos!K31+Datos!AA31-(Datos!U31+Datos!AI31))/(Datos!U31+Datos!AI31))
     ),IF(J_V="SI",(Datos!K31-Datos!U31)/Datos!U31,(Datos!K31+Datos!AA31-(Datos!U31+Datos!AI31))/(Datos!U31+Datos!AI31))," - ")</f>
        <v>0.30375426621160412</v>
      </c>
      <c r="G31" s="410">
        <f>IF(ISNUMBER(
   IF(J_V="SI",(Datos!L31-Datos!V31)/Datos!V31,(Datos!L31+Datos!AB31-(Datos!V31+Datos!AJ31))/(Datos!V31+Datos!AJ31))
     ),IF(J_V="SI",(Datos!L31-Datos!V31)/Datos!V31,(Datos!L31+Datos!AB31-(Datos!V31+Datos!AJ31))/(Datos!V31+Datos!AJ31))," - ")</f>
        <v>1.3368983957219251E-3</v>
      </c>
      <c r="H31" s="411">
        <f>IF(ISNUMBER((Datos!M31-Datos!W31)/Datos!W31),(Datos!M31-Datos!W31)/Datos!W31," - ")</f>
        <v>0.37037037037037035</v>
      </c>
      <c r="I31" s="408">
        <f>IF(ISNUMBER((Tasas!C31-Datos!BE31)/Datos!BE31),(Tasas!C31-Datos!BE31)/Datos!BE31," - ")</f>
        <v>-0.23195887112579436</v>
      </c>
      <c r="J31" s="409">
        <f>IF(ISNUMBER((Tasas!D31-Datos!BF31)/Datos!BF31),(Tasas!D31-Datos!BF31)/Datos!BF31," - ")</f>
        <v>-6.9521929448115943E-2</v>
      </c>
      <c r="K31" s="410">
        <f>IF(ISNUMBER((Tasas!E31-Datos!BG31)/Datos!BG31),(Tasas!E31-Datos!BG31)/Datos!BG31," - ")</f>
        <v>-0.17144721642988944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0.48157256869879544</v>
      </c>
      <c r="E33" s="303">
        <f t="shared" si="1"/>
        <v>0.22822205441291391</v>
      </c>
      <c r="F33" s="303">
        <f t="shared" si="1"/>
        <v>7.772468935926713E-2</v>
      </c>
      <c r="G33" s="304">
        <f t="shared" si="1"/>
        <v>0.60922101136329054</v>
      </c>
      <c r="H33" s="310">
        <f t="shared" si="1"/>
        <v>0.32828509295043218</v>
      </c>
      <c r="I33" s="302">
        <f t="shared" si="1"/>
        <v>0.10986090431183719</v>
      </c>
      <c r="J33" s="303">
        <f t="shared" si="1"/>
        <v>0.33668915994615611</v>
      </c>
      <c r="K33" s="304">
        <f t="shared" si="1"/>
        <v>2.0429677092936124E-2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HFBq13paSXg1iLkGi8Xlr6kxFa3C+Ygq5uhFYNC9Ndzkuua1lYzNeKV+G36s5ORKmKbAFL1pDUeG1P4EgdXYdQ==" saltValue="eWTK+xPDGarLDiNzOfKLQ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